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 yWindow="120" windowWidth="11730" windowHeight="5550" tabRatio="847" activeTab="1"/>
  </bookViews>
  <sheets>
    <sheet name="Kalend" sheetId="87" r:id="rId1"/>
    <sheet name="Kal E" sheetId="1" r:id="rId2"/>
    <sheet name="Reit" sheetId="64" r:id="rId3"/>
    <sheet name="A" sheetId="93" r:id="rId4"/>
    <sheet name="1" sheetId="94" r:id="rId5"/>
    <sheet name="2" sheetId="96" r:id="rId6"/>
    <sheet name="3" sheetId="98" r:id="rId7"/>
    <sheet name="4" sheetId="100" r:id="rId8"/>
    <sheet name="5" sheetId="115" r:id="rId9"/>
    <sheet name="6" sheetId="117" r:id="rId10"/>
    <sheet name="7" sheetId="118" r:id="rId11"/>
    <sheet name="8" sheetId="120" r:id="rId12"/>
    <sheet name="9" sheetId="123" r:id="rId13"/>
    <sheet name="10" sheetId="125" r:id="rId14"/>
    <sheet name="11" sheetId="126" r:id="rId15"/>
    <sheet name="12" sheetId="130" r:id="rId16"/>
    <sheet name="13" sheetId="133" r:id="rId17"/>
    <sheet name="L" sheetId="134" r:id="rId18"/>
    <sheet name="V" sheetId="88" r:id="rId19"/>
    <sheet name="V1" sheetId="145" r:id="rId20"/>
    <sheet name="V2" sheetId="144" r:id="rId21"/>
    <sheet name="V3" sheetId="143" r:id="rId22"/>
    <sheet name="V-PL" sheetId="101" r:id="rId23"/>
    <sheet name="Mu" sheetId="113" r:id="rId24"/>
    <sheet name="V4" sheetId="142" r:id="rId25"/>
    <sheet name="V5" sheetId="141" r:id="rId26"/>
    <sheet name="V6" sheetId="140" r:id="rId27"/>
    <sheet name="V7" sheetId="138" r:id="rId28"/>
    <sheet name="V8" sheetId="137" r:id="rId29"/>
    <sheet name="V9" sheetId="136" r:id="rId30"/>
    <sheet name="V10" sheetId="131" r:id="rId31"/>
    <sheet name="V-Fin" sheetId="111" r:id="rId32"/>
    <sheet name="V-F-PL" sheetId="105" r:id="rId33"/>
    <sheet name="V-F-AS" sheetId="132" r:id="rId34"/>
    <sheet name="Voka KV juhend" sheetId="95" r:id="rId35"/>
    <sheet name="Voka muru juhend" sheetId="146" r:id="rId36"/>
    <sheet name="ETAPP" sheetId="89" r:id="rId37"/>
    <sheet name="PIV" sheetId="85" r:id="rId38"/>
    <sheet name="PVO" sheetId="86" r:id="rId39"/>
  </sheets>
  <definedNames>
    <definedName name="_xlnm._FilterDatabase" localSheetId="0" hidden="1">Kalend!$A$3:$H$52</definedName>
    <definedName name="_xlnm._FilterDatabase" localSheetId="2" hidden="1">Reit!$AC$7:$AE$53</definedName>
    <definedName name="_xlnm._FilterDatabase" localSheetId="18" hidden="1">V!$A$1:$AL$68</definedName>
    <definedName name="a" localSheetId="4">#REF!</definedName>
    <definedName name="a" localSheetId="13">#REF!</definedName>
    <definedName name="a" localSheetId="14">#REF!</definedName>
    <definedName name="a" localSheetId="15">#REF!</definedName>
    <definedName name="a" localSheetId="16">#REF!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3">#REF!</definedName>
    <definedName name="a" localSheetId="36">#REF!</definedName>
    <definedName name="a" localSheetId="0">#REF!</definedName>
    <definedName name="a" localSheetId="17">#REF!</definedName>
    <definedName name="a" localSheetId="23">#REF!</definedName>
    <definedName name="a" localSheetId="2">#REF!</definedName>
    <definedName name="a" localSheetId="18">#REF!</definedName>
    <definedName name="a" localSheetId="19">#REF!</definedName>
    <definedName name="a" localSheetId="30">#REF!</definedName>
    <definedName name="a" localSheetId="20">#REF!</definedName>
    <definedName name="a" localSheetId="21">#REF!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3">#REF!</definedName>
    <definedName name="a" localSheetId="32">#REF!</definedName>
    <definedName name="a" localSheetId="35">#REF!</definedName>
    <definedName name="a">#REF!</definedName>
    <definedName name="Nimed" localSheetId="4">#REF!</definedName>
    <definedName name="Nimed" localSheetId="13">#REF!</definedName>
    <definedName name="Nimed" localSheetId="14">#REF!</definedName>
    <definedName name="Nimed" localSheetId="15">#REF!</definedName>
    <definedName name="Nimed" localSheetId="16">#REF!</definedName>
    <definedName name="Nimed" localSheetId="5">#REF!</definedName>
    <definedName name="Nimed" localSheetId="6">#REF!</definedName>
    <definedName name="Nimed" localSheetId="7">#REF!</definedName>
    <definedName name="Nimed" localSheetId="8">#REF!</definedName>
    <definedName name="Nimed" localSheetId="9">#REF!</definedName>
    <definedName name="Nimed" localSheetId="10">#REF!</definedName>
    <definedName name="Nimed" localSheetId="11">#REF!</definedName>
    <definedName name="Nimed" localSheetId="12">#REF!</definedName>
    <definedName name="Nimed" localSheetId="3">#REF!</definedName>
    <definedName name="Nimed" localSheetId="0">#REF!</definedName>
    <definedName name="Nimed" localSheetId="17">#REF!</definedName>
    <definedName name="Nimed" localSheetId="23">#REF!</definedName>
    <definedName name="Nimed" localSheetId="2">#REF!</definedName>
    <definedName name="Nimed" localSheetId="18">#REF!</definedName>
    <definedName name="Nimed" localSheetId="19">#REF!</definedName>
    <definedName name="Nimed" localSheetId="30">#REF!</definedName>
    <definedName name="Nimed" localSheetId="20">#REF!</definedName>
    <definedName name="Nimed" localSheetId="21">#REF!</definedName>
    <definedName name="Nimed" localSheetId="24">#REF!</definedName>
    <definedName name="Nimed" localSheetId="25">#REF!</definedName>
    <definedName name="Nimed" localSheetId="26">#REF!</definedName>
    <definedName name="Nimed" localSheetId="27">#REF!</definedName>
    <definedName name="Nimed" localSheetId="28">#REF!</definedName>
    <definedName name="Nimed" localSheetId="29">#REF!</definedName>
    <definedName name="Nimed" localSheetId="33">#REF!</definedName>
    <definedName name="Nimed" localSheetId="31">#REF!</definedName>
    <definedName name="Nimed" localSheetId="32">#REF!</definedName>
    <definedName name="Nimed" localSheetId="35">#REF!</definedName>
    <definedName name="Nimed">#REF!</definedName>
    <definedName name="_xlnm.Print_Area" localSheetId="1">'Kal E'!$A$1:$N$124</definedName>
    <definedName name="_xlnm.Print_Area" localSheetId="17">L!$A$1:$AC$42</definedName>
    <definedName name="_xlnm.Print_Area" localSheetId="23">Mu!$A$1:$O$204</definedName>
    <definedName name="_xlnm.Print_Area" localSheetId="2">Reit!$A$1:$AE$59</definedName>
    <definedName name="_xlnm.Print_Area" localSheetId="33">'V-F-AS'!$A$1:$Q$64</definedName>
    <definedName name="_xlnm.Print_Area" localSheetId="31">'V-Fin'!$A$1:$O$336</definedName>
    <definedName name="_xlnm.Print_Titles" localSheetId="4">'1'!$1:$2</definedName>
    <definedName name="_xlnm.Print_Titles" localSheetId="13">'10'!$1:$2</definedName>
    <definedName name="_xlnm.Print_Titles" localSheetId="14">'11'!$1:$2</definedName>
    <definedName name="_xlnm.Print_Titles" localSheetId="15">'12'!$1:$2</definedName>
    <definedName name="_xlnm.Print_Titles" localSheetId="16">'13'!$1:$2</definedName>
    <definedName name="_xlnm.Print_Titles" localSheetId="5">'2'!$1:$2</definedName>
    <definedName name="_xlnm.Print_Titles" localSheetId="6">'3'!$1:$2</definedName>
    <definedName name="_xlnm.Print_Titles" localSheetId="7">'4'!$1:$2</definedName>
    <definedName name="_xlnm.Print_Titles" localSheetId="8">'5'!$1:$2</definedName>
    <definedName name="_xlnm.Print_Titles" localSheetId="9">'6'!$1:$2</definedName>
    <definedName name="_xlnm.Print_Titles" localSheetId="10">'7'!$1:$2</definedName>
    <definedName name="_xlnm.Print_Titles" localSheetId="11">'8'!$1:$2</definedName>
    <definedName name="_xlnm.Print_Titles" localSheetId="12">'9'!$1:$2</definedName>
    <definedName name="_xlnm.Print_Titles" localSheetId="3">A!$1:$2</definedName>
    <definedName name="_xlnm.Print_Titles" localSheetId="1">'Kal E'!$1:$3</definedName>
    <definedName name="_xlnm.Print_Titles" localSheetId="17">L!$1:$2</definedName>
    <definedName name="_xlnm.Print_Titles" localSheetId="23">Mu!$1:$2</definedName>
    <definedName name="_xlnm.Print_Titles" localSheetId="2">Reit!$1:$3</definedName>
    <definedName name="_xlnm.Print_Titles" localSheetId="18">V!$1:$3</definedName>
    <definedName name="_xlnm.Print_Titles" localSheetId="19">'V1'!$1:$2</definedName>
    <definedName name="_xlnm.Print_Titles" localSheetId="30">'V10'!$1:$2</definedName>
    <definedName name="_xlnm.Print_Titles" localSheetId="20">'V2'!$1:$2</definedName>
    <definedName name="_xlnm.Print_Titles" localSheetId="21">'V3'!$1:$2</definedName>
    <definedName name="_xlnm.Print_Titles" localSheetId="24">'V4'!$1:$2</definedName>
    <definedName name="_xlnm.Print_Titles" localSheetId="25">'V5'!$1:$2</definedName>
    <definedName name="_xlnm.Print_Titles" localSheetId="26">'V6'!$1:$2</definedName>
    <definedName name="_xlnm.Print_Titles" localSheetId="27">'V7'!$1:$2</definedName>
    <definedName name="_xlnm.Print_Titles" localSheetId="28">'V8'!$1:$2</definedName>
    <definedName name="_xlnm.Print_Titles" localSheetId="29">'V9'!$1:$2</definedName>
    <definedName name="_xlnm.Print_Titles" localSheetId="33">'V-F-AS'!$1:$2</definedName>
    <definedName name="_xlnm.Print_Titles" localSheetId="31">'V-Fin'!$1:$2</definedName>
    <definedName name="_xlnm.Print_Titles" localSheetId="22">'V-PL'!$1:$4</definedName>
    <definedName name="sd" localSheetId="4">#REF!</definedName>
    <definedName name="sd" localSheetId="13">#REF!</definedName>
    <definedName name="sd" localSheetId="14">#REF!</definedName>
    <definedName name="sd" localSheetId="15">#REF!</definedName>
    <definedName name="sd" localSheetId="16">#REF!</definedName>
    <definedName name="sd" localSheetId="5">#REF!</definedName>
    <definedName name="sd" localSheetId="6">#REF!</definedName>
    <definedName name="sd" localSheetId="7">#REF!</definedName>
    <definedName name="sd" localSheetId="8">#REF!</definedName>
    <definedName name="sd" localSheetId="9">#REF!</definedName>
    <definedName name="sd" localSheetId="10">#REF!</definedName>
    <definedName name="sd" localSheetId="11">#REF!</definedName>
    <definedName name="sd" localSheetId="12">#REF!</definedName>
    <definedName name="sd" localSheetId="3">#REF!</definedName>
    <definedName name="sd" localSheetId="36">#REF!</definedName>
    <definedName name="sd" localSheetId="0">#REF!</definedName>
    <definedName name="sd" localSheetId="17">#REF!</definedName>
    <definedName name="sd" localSheetId="23">#REF!</definedName>
    <definedName name="sd" localSheetId="2">#REF!</definedName>
    <definedName name="sd" localSheetId="18">#REF!</definedName>
    <definedName name="sd" localSheetId="19">#REF!</definedName>
    <definedName name="sd" localSheetId="30">#REF!</definedName>
    <definedName name="sd" localSheetId="20">#REF!</definedName>
    <definedName name="sd" localSheetId="21">#REF!</definedName>
    <definedName name="sd" localSheetId="24">#REF!</definedName>
    <definedName name="sd" localSheetId="25">#REF!</definedName>
    <definedName name="sd" localSheetId="26">#REF!</definedName>
    <definedName name="sd" localSheetId="27">#REF!</definedName>
    <definedName name="sd" localSheetId="28">#REF!</definedName>
    <definedName name="sd" localSheetId="29">#REF!</definedName>
    <definedName name="sd" localSheetId="33">#REF!</definedName>
    <definedName name="sd" localSheetId="32">#REF!</definedName>
    <definedName name="sd" localSheetId="35">#REF!</definedName>
    <definedName name="sd">#REF!</definedName>
    <definedName name="Voka" localSheetId="4">#REF!</definedName>
    <definedName name="Voka" localSheetId="13">#REF!</definedName>
    <definedName name="Voka" localSheetId="14">#REF!</definedName>
    <definedName name="Voka" localSheetId="15">#REF!</definedName>
    <definedName name="Voka" localSheetId="16">#REF!</definedName>
    <definedName name="Voka" localSheetId="5">#REF!</definedName>
    <definedName name="Voka" localSheetId="6">#REF!</definedName>
    <definedName name="Voka" localSheetId="7">#REF!</definedName>
    <definedName name="Voka" localSheetId="8">#REF!</definedName>
    <definedName name="Voka" localSheetId="9">#REF!</definedName>
    <definedName name="Voka" localSheetId="10">#REF!</definedName>
    <definedName name="Voka" localSheetId="11">#REF!</definedName>
    <definedName name="Voka" localSheetId="12">#REF!</definedName>
    <definedName name="Voka" localSheetId="3">#REF!</definedName>
    <definedName name="Voka" localSheetId="36">#REF!</definedName>
    <definedName name="Voka" localSheetId="0">#REF!</definedName>
    <definedName name="Voka" localSheetId="17">#REF!</definedName>
    <definedName name="Voka" localSheetId="23">#REF!</definedName>
    <definedName name="Voka" localSheetId="2">#REF!</definedName>
    <definedName name="Voka" localSheetId="18">#REF!</definedName>
    <definedName name="Voka" localSheetId="19">#REF!</definedName>
    <definedName name="Voka" localSheetId="30">#REF!</definedName>
    <definedName name="Voka" localSheetId="20">#REF!</definedName>
    <definedName name="Voka" localSheetId="21">#REF!</definedName>
    <definedName name="Voka" localSheetId="24">#REF!</definedName>
    <definedName name="Voka" localSheetId="25">#REF!</definedName>
    <definedName name="Voka" localSheetId="26">#REF!</definedName>
    <definedName name="Voka" localSheetId="27">#REF!</definedName>
    <definedName name="Voka" localSheetId="28">#REF!</definedName>
    <definedName name="Voka" localSheetId="29">#REF!</definedName>
    <definedName name="Voka" localSheetId="33">#REF!</definedName>
    <definedName name="Voka" localSheetId="32">#REF!</definedName>
    <definedName name="Voka" localSheetId="35">#REF!</definedName>
    <definedName name="Voka">#REF!</definedName>
  </definedNames>
  <calcPr calcId="145621"/>
</workbook>
</file>

<file path=xl/calcChain.xml><?xml version="1.0" encoding="utf-8"?>
<calcChain xmlns="http://schemas.openxmlformats.org/spreadsheetml/2006/main">
  <c r="K74" i="1" l="1"/>
  <c r="K118" i="113" l="1"/>
  <c r="K116" i="113"/>
  <c r="K112" i="113"/>
  <c r="K114" i="113"/>
  <c r="K80" i="1" l="1"/>
  <c r="K15" i="1" l="1"/>
  <c r="K88" i="1"/>
  <c r="M88" i="1"/>
  <c r="K23" i="1" l="1"/>
  <c r="I16" i="87"/>
  <c r="I15" i="87"/>
  <c r="G22" i="1" l="1"/>
  <c r="G16" i="1"/>
  <c r="G7" i="1"/>
  <c r="K30" i="1" l="1"/>
  <c r="Q41" i="64" l="1"/>
  <c r="R41" i="64"/>
  <c r="S41" i="64"/>
  <c r="T41" i="64"/>
  <c r="U41" i="64"/>
  <c r="V41" i="64"/>
  <c r="W41" i="64"/>
  <c r="X41" i="64"/>
  <c r="Y41" i="64"/>
  <c r="Z41" i="64"/>
  <c r="AB41" i="64"/>
  <c r="K103" i="1" l="1"/>
  <c r="M100" i="1"/>
  <c r="M93" i="1"/>
  <c r="K91" i="1"/>
  <c r="M85" i="1"/>
  <c r="A80" i="1"/>
  <c r="E76" i="1"/>
  <c r="K70" i="1"/>
  <c r="E67" i="1"/>
  <c r="E61" i="1"/>
  <c r="M56" i="1"/>
  <c r="K56" i="1"/>
  <c r="E49" i="1"/>
  <c r="M45" i="1"/>
  <c r="N44" i="1"/>
  <c r="K43" i="1"/>
  <c r="G43" i="1"/>
  <c r="E43" i="1"/>
  <c r="G32" i="1"/>
  <c r="E29" i="1"/>
  <c r="M26" i="1"/>
  <c r="K26" i="1"/>
  <c r="C24" i="1"/>
  <c r="M21" i="1"/>
  <c r="K21" i="1"/>
  <c r="E21" i="1"/>
  <c r="C18" i="1"/>
  <c r="E15" i="1"/>
  <c r="C12" i="1"/>
  <c r="M10" i="1"/>
  <c r="K10" i="1"/>
  <c r="C10" i="1"/>
  <c r="M6" i="1"/>
  <c r="M46" i="1" l="1"/>
  <c r="L81" i="1"/>
  <c r="AA20" i="143" l="1"/>
  <c r="A2" i="111" l="1"/>
  <c r="A2" i="132"/>
  <c r="A4" i="105"/>
  <c r="A2" i="105"/>
  <c r="R1" i="134" l="1"/>
  <c r="I1" i="133"/>
  <c r="F1" i="130"/>
  <c r="I1" i="126"/>
  <c r="I1" i="125"/>
  <c r="H1" i="123"/>
  <c r="I1" i="120"/>
  <c r="E1" i="118"/>
  <c r="G1" i="117"/>
  <c r="S1" i="115"/>
  <c r="E1" i="100"/>
  <c r="I1" i="98"/>
  <c r="G1" i="96"/>
  <c r="F1" i="94"/>
  <c r="I1" i="93"/>
  <c r="U1" i="101"/>
  <c r="H1" i="111"/>
  <c r="B303" i="141" l="1"/>
  <c r="B309" i="144"/>
  <c r="B306" i="140"/>
  <c r="B309" i="141"/>
  <c r="J1" i="145"/>
  <c r="J1" i="144"/>
  <c r="J1" i="143"/>
  <c r="J1" i="142"/>
  <c r="J1" i="141"/>
  <c r="J1" i="140"/>
  <c r="J1" i="138"/>
  <c r="J1" i="137"/>
  <c r="J1" i="136"/>
  <c r="J1" i="131"/>
  <c r="C309" i="140"/>
  <c r="C310" i="140" s="1"/>
  <c r="C311" i="140" s="1"/>
  <c r="C312" i="140" s="1"/>
  <c r="C308" i="140"/>
  <c r="C301" i="140"/>
  <c r="C300" i="140"/>
  <c r="V19" i="145" l="1"/>
  <c r="R19" i="145"/>
  <c r="N19" i="145"/>
  <c r="J19" i="145"/>
  <c r="F19" i="145"/>
  <c r="V18" i="145"/>
  <c r="R18" i="145"/>
  <c r="N18" i="145"/>
  <c r="J18" i="145"/>
  <c r="F18" i="145"/>
  <c r="V17" i="145"/>
  <c r="R17" i="145"/>
  <c r="N17" i="145"/>
  <c r="J17" i="145"/>
  <c r="F17" i="145"/>
  <c r="V16" i="145"/>
  <c r="R16" i="145"/>
  <c r="N16" i="145"/>
  <c r="J16" i="145"/>
  <c r="F16" i="145"/>
  <c r="V15" i="145"/>
  <c r="R15" i="145"/>
  <c r="N15" i="145"/>
  <c r="J15" i="145"/>
  <c r="F15" i="145"/>
  <c r="V14" i="145"/>
  <c r="R14" i="145"/>
  <c r="N14" i="145"/>
  <c r="J14" i="145"/>
  <c r="F14" i="145"/>
  <c r="V13" i="145"/>
  <c r="R13" i="145"/>
  <c r="N13" i="145"/>
  <c r="J13" i="145"/>
  <c r="F13" i="145"/>
  <c r="V12" i="145" l="1"/>
  <c r="R12" i="145"/>
  <c r="N12" i="145"/>
  <c r="J12" i="145"/>
  <c r="F12" i="145"/>
  <c r="V11" i="145"/>
  <c r="R11" i="145"/>
  <c r="N11" i="145"/>
  <c r="J11" i="145"/>
  <c r="F11" i="145"/>
  <c r="V10" i="145"/>
  <c r="R10" i="145"/>
  <c r="N10" i="145"/>
  <c r="J10" i="145"/>
  <c r="F10" i="145"/>
  <c r="V9" i="145"/>
  <c r="R9" i="145"/>
  <c r="N9" i="145"/>
  <c r="J9" i="145"/>
  <c r="F9" i="145"/>
  <c r="V8" i="145"/>
  <c r="R8" i="145"/>
  <c r="N8" i="145"/>
  <c r="J8" i="145"/>
  <c r="F8" i="145"/>
  <c r="A4" i="144" l="1"/>
  <c r="A2" i="144"/>
  <c r="A4" i="142"/>
  <c r="A2" i="142"/>
  <c r="A4" i="141"/>
  <c r="A2" i="141"/>
  <c r="A4" i="145"/>
  <c r="A2" i="145"/>
  <c r="C300" i="145"/>
  <c r="C301" i="145" s="1"/>
  <c r="C302" i="145" s="1"/>
  <c r="C303" i="145" s="1"/>
  <c r="C304" i="145" s="1"/>
  <c r="C305" i="145" s="1"/>
  <c r="C306" i="145" s="1"/>
  <c r="C307" i="145" s="1"/>
  <c r="C308" i="145" s="1"/>
  <c r="C309" i="145" s="1"/>
  <c r="C310" i="145" s="1"/>
  <c r="C311" i="145" s="1"/>
  <c r="AO19" i="145"/>
  <c r="AP19" i="145" s="1"/>
  <c r="AM19" i="145"/>
  <c r="AN19" i="145" s="1"/>
  <c r="AK19" i="145"/>
  <c r="AI19" i="145"/>
  <c r="AE19" i="145"/>
  <c r="AC19" i="145"/>
  <c r="AA19" i="145"/>
  <c r="AO18" i="145"/>
  <c r="AP18" i="145" s="1"/>
  <c r="AM18" i="145"/>
  <c r="AN18" i="145" s="1"/>
  <c r="AK18" i="145"/>
  <c r="AI18" i="145"/>
  <c r="AE18" i="145"/>
  <c r="AC18" i="145"/>
  <c r="AA18" i="145"/>
  <c r="AO17" i="145"/>
  <c r="AM17" i="145"/>
  <c r="AK17" i="145"/>
  <c r="AL17" i="145" s="1"/>
  <c r="AI17" i="145"/>
  <c r="AE17" i="145"/>
  <c r="AC17" i="145"/>
  <c r="AA17" i="145"/>
  <c r="AO16" i="145"/>
  <c r="AP16" i="145" s="1"/>
  <c r="AM16" i="145"/>
  <c r="AN16" i="145" s="1"/>
  <c r="AK16" i="145"/>
  <c r="AI16" i="145"/>
  <c r="AE16" i="145"/>
  <c r="AC16" i="145"/>
  <c r="AA16" i="145"/>
  <c r="AO15" i="145"/>
  <c r="AP15" i="145" s="1"/>
  <c r="AM15" i="145"/>
  <c r="AN15" i="145" s="1"/>
  <c r="AK15" i="145"/>
  <c r="AI15" i="145"/>
  <c r="AE15" i="145"/>
  <c r="AC15" i="145"/>
  <c r="AA15" i="145"/>
  <c r="AO14" i="145"/>
  <c r="AP14" i="145" s="1"/>
  <c r="AM14" i="145"/>
  <c r="AN14" i="145" s="1"/>
  <c r="AK14" i="145"/>
  <c r="AI14" i="145"/>
  <c r="AE14" i="145"/>
  <c r="AC14" i="145"/>
  <c r="AA14" i="145"/>
  <c r="AO13" i="145"/>
  <c r="AP13" i="145" s="1"/>
  <c r="AM13" i="145"/>
  <c r="AN13" i="145" s="1"/>
  <c r="AK13" i="145"/>
  <c r="AI13" i="145"/>
  <c r="AE13" i="145"/>
  <c r="AC13" i="145"/>
  <c r="AA13" i="145"/>
  <c r="AO12" i="145"/>
  <c r="AP12" i="145" s="1"/>
  <c r="AM12" i="145"/>
  <c r="AN12" i="145" s="1"/>
  <c r="AK12" i="145"/>
  <c r="AI12" i="145"/>
  <c r="AE12" i="145"/>
  <c r="AC12" i="145"/>
  <c r="AA12" i="145"/>
  <c r="AO11" i="145"/>
  <c r="AP11" i="145" s="1"/>
  <c r="AM11" i="145"/>
  <c r="AN11" i="145" s="1"/>
  <c r="AK11" i="145"/>
  <c r="AI11" i="145"/>
  <c r="AE11" i="145"/>
  <c r="AC11" i="145"/>
  <c r="AA11" i="145"/>
  <c r="AO10" i="145"/>
  <c r="AP10" i="145" s="1"/>
  <c r="AM10" i="145"/>
  <c r="AN10" i="145" s="1"/>
  <c r="AK10" i="145"/>
  <c r="AI10" i="145"/>
  <c r="AE10" i="145"/>
  <c r="AC10" i="145"/>
  <c r="AA10" i="145"/>
  <c r="AO9" i="145"/>
  <c r="AP9" i="145" s="1"/>
  <c r="AM9" i="145"/>
  <c r="AN9" i="145" s="1"/>
  <c r="AK9" i="145"/>
  <c r="AI9" i="145"/>
  <c r="AE9" i="145"/>
  <c r="AC9" i="145"/>
  <c r="AA9" i="145"/>
  <c r="AO8" i="145"/>
  <c r="AP8" i="145" s="1"/>
  <c r="AM8" i="145"/>
  <c r="AN8" i="145" s="1"/>
  <c r="AK8" i="145"/>
  <c r="AI8" i="145"/>
  <c r="AE8" i="145"/>
  <c r="AC8" i="145"/>
  <c r="AA8" i="145"/>
  <c r="F1" i="145"/>
  <c r="C300" i="144"/>
  <c r="C313" i="144"/>
  <c r="C314" i="144" s="1"/>
  <c r="C315" i="144" s="1"/>
  <c r="C301" i="144"/>
  <c r="C302" i="144" s="1"/>
  <c r="B311" i="144"/>
  <c r="B304" i="144"/>
  <c r="V23" i="144"/>
  <c r="R23" i="144"/>
  <c r="N23" i="144"/>
  <c r="J23" i="144"/>
  <c r="F23" i="144"/>
  <c r="V22" i="144"/>
  <c r="R22" i="144"/>
  <c r="N22" i="144"/>
  <c r="J22" i="144"/>
  <c r="F22" i="144"/>
  <c r="V21" i="144"/>
  <c r="R21" i="144"/>
  <c r="N21" i="144"/>
  <c r="J21" i="144"/>
  <c r="F21" i="144"/>
  <c r="V20" i="144"/>
  <c r="R20" i="144"/>
  <c r="N20" i="144"/>
  <c r="J20" i="144"/>
  <c r="F20" i="144"/>
  <c r="V19" i="144"/>
  <c r="R19" i="144"/>
  <c r="N19" i="144"/>
  <c r="J19" i="144"/>
  <c r="F19" i="144"/>
  <c r="V18" i="144"/>
  <c r="R18" i="144"/>
  <c r="N18" i="144"/>
  <c r="J18" i="144"/>
  <c r="F18" i="144"/>
  <c r="V16" i="144"/>
  <c r="R16" i="144"/>
  <c r="N16" i="144"/>
  <c r="J16" i="144"/>
  <c r="F16" i="144"/>
  <c r="V17" i="144"/>
  <c r="R17" i="144"/>
  <c r="N17" i="144"/>
  <c r="J17" i="144"/>
  <c r="F17" i="144"/>
  <c r="V15" i="144"/>
  <c r="R15" i="144"/>
  <c r="N15" i="144"/>
  <c r="J15" i="144"/>
  <c r="F15" i="144"/>
  <c r="V14" i="144"/>
  <c r="R14" i="144"/>
  <c r="N14" i="144"/>
  <c r="J14" i="144"/>
  <c r="F14" i="144"/>
  <c r="V13" i="144"/>
  <c r="R13" i="144"/>
  <c r="N13" i="144"/>
  <c r="J13" i="144"/>
  <c r="F13" i="144"/>
  <c r="V12" i="144"/>
  <c r="R12" i="144"/>
  <c r="N12" i="144"/>
  <c r="J12" i="144"/>
  <c r="F12" i="144"/>
  <c r="V11" i="144"/>
  <c r="R11" i="144"/>
  <c r="N11" i="144"/>
  <c r="J11" i="144"/>
  <c r="F11" i="144"/>
  <c r="V10" i="144"/>
  <c r="R10" i="144"/>
  <c r="N10" i="144"/>
  <c r="J10" i="144"/>
  <c r="F10" i="144"/>
  <c r="V9" i="144"/>
  <c r="R9" i="144"/>
  <c r="N9" i="144"/>
  <c r="J9" i="144"/>
  <c r="F9" i="144"/>
  <c r="V8" i="144"/>
  <c r="R8" i="144"/>
  <c r="N8" i="144"/>
  <c r="J8" i="144"/>
  <c r="F8" i="144"/>
  <c r="AO23" i="144"/>
  <c r="AP23" i="144" s="1"/>
  <c r="AM23" i="144"/>
  <c r="AN23" i="144" s="1"/>
  <c r="AK23" i="144"/>
  <c r="AI23" i="144"/>
  <c r="AE23" i="144"/>
  <c r="AC23" i="144"/>
  <c r="AA23" i="144"/>
  <c r="AO22" i="144"/>
  <c r="AP22" i="144" s="1"/>
  <c r="AM22" i="144"/>
  <c r="AN22" i="144" s="1"/>
  <c r="AK22" i="144"/>
  <c r="AI22" i="144"/>
  <c r="AE22" i="144"/>
  <c r="AC22" i="144"/>
  <c r="AA22" i="144"/>
  <c r="AO21" i="144"/>
  <c r="AP21" i="144" s="1"/>
  <c r="AM21" i="144"/>
  <c r="AN21" i="144" s="1"/>
  <c r="AK21" i="144"/>
  <c r="AI21" i="144"/>
  <c r="AE21" i="144"/>
  <c r="AC21" i="144"/>
  <c r="AA21" i="144"/>
  <c r="AP20" i="144"/>
  <c r="AO20" i="144"/>
  <c r="AN20" i="144"/>
  <c r="AM20" i="144"/>
  <c r="AK20" i="144"/>
  <c r="AI20" i="144"/>
  <c r="AE20" i="144"/>
  <c r="AC20" i="144"/>
  <c r="AA20" i="144"/>
  <c r="AO19" i="144"/>
  <c r="AM19" i="144"/>
  <c r="AK19" i="144"/>
  <c r="AL19" i="144" s="1"/>
  <c r="AI19" i="144"/>
  <c r="AE19" i="144"/>
  <c r="AC19" i="144"/>
  <c r="AA19" i="144"/>
  <c r="AO18" i="144"/>
  <c r="AP18" i="144" s="1"/>
  <c r="AM18" i="144"/>
  <c r="AN18" i="144" s="1"/>
  <c r="AK18" i="144"/>
  <c r="AI18" i="144"/>
  <c r="AE18" i="144"/>
  <c r="AC18" i="144"/>
  <c r="AA18" i="144"/>
  <c r="AO17" i="144"/>
  <c r="AP17" i="144" s="1"/>
  <c r="AM17" i="144"/>
  <c r="AN17" i="144" s="1"/>
  <c r="AK17" i="144"/>
  <c r="AI17" i="144"/>
  <c r="AE16" i="144"/>
  <c r="AC16" i="144"/>
  <c r="AA16" i="144"/>
  <c r="AO16" i="144"/>
  <c r="AP16" i="144" s="1"/>
  <c r="AM16" i="144"/>
  <c r="AN16" i="144" s="1"/>
  <c r="AK16" i="144"/>
  <c r="AI16" i="144"/>
  <c r="AE17" i="144"/>
  <c r="AC17" i="144"/>
  <c r="AA17" i="144"/>
  <c r="AO15" i="144"/>
  <c r="AP15" i="144" s="1"/>
  <c r="AM15" i="144"/>
  <c r="AN15" i="144" s="1"/>
  <c r="AK15" i="144"/>
  <c r="AI15" i="144"/>
  <c r="AE15" i="144"/>
  <c r="AC15" i="144"/>
  <c r="AA15" i="144"/>
  <c r="AO14" i="144"/>
  <c r="AP14" i="144" s="1"/>
  <c r="AM14" i="144"/>
  <c r="AN14" i="144" s="1"/>
  <c r="AK14" i="144"/>
  <c r="AI14" i="144"/>
  <c r="AE14" i="144"/>
  <c r="AC14" i="144"/>
  <c r="AA14" i="144"/>
  <c r="AO13" i="144"/>
  <c r="AP13" i="144" s="1"/>
  <c r="AM13" i="144"/>
  <c r="AN13" i="144" s="1"/>
  <c r="AK13" i="144"/>
  <c r="AI13" i="144"/>
  <c r="AE13" i="144"/>
  <c r="AC13" i="144"/>
  <c r="AA13" i="144"/>
  <c r="AP12" i="144"/>
  <c r="AO12" i="144"/>
  <c r="AN12" i="144"/>
  <c r="AM12" i="144"/>
  <c r="AK12" i="144"/>
  <c r="AI12" i="144"/>
  <c r="AE12" i="144"/>
  <c r="AC12" i="144"/>
  <c r="AA12" i="144"/>
  <c r="AO11" i="144"/>
  <c r="AP11" i="144" s="1"/>
  <c r="AM11" i="144"/>
  <c r="AN11" i="144" s="1"/>
  <c r="AK11" i="144"/>
  <c r="AI11" i="144"/>
  <c r="AE11" i="144"/>
  <c r="AC11" i="144"/>
  <c r="AA11" i="144"/>
  <c r="AO10" i="144"/>
  <c r="AP10" i="144" s="1"/>
  <c r="AM10" i="144"/>
  <c r="AN10" i="144" s="1"/>
  <c r="AK10" i="144"/>
  <c r="AI10" i="144"/>
  <c r="AE10" i="144"/>
  <c r="AC10" i="144"/>
  <c r="AA10" i="144"/>
  <c r="AO9" i="144"/>
  <c r="AP9" i="144" s="1"/>
  <c r="AM9" i="144"/>
  <c r="AN9" i="144" s="1"/>
  <c r="AK9" i="144"/>
  <c r="AI9" i="144"/>
  <c r="AE9" i="144"/>
  <c r="AC9" i="144"/>
  <c r="AA9" i="144"/>
  <c r="AO8" i="144"/>
  <c r="AP8" i="144" s="1"/>
  <c r="AM8" i="144"/>
  <c r="AN8" i="144" s="1"/>
  <c r="AK8" i="144"/>
  <c r="AI8" i="144"/>
  <c r="AE8" i="144"/>
  <c r="AC8" i="144"/>
  <c r="AA8" i="144"/>
  <c r="F1" i="144"/>
  <c r="AF18" i="145" l="1"/>
  <c r="AF16" i="145"/>
  <c r="AF14" i="145"/>
  <c r="AF10" i="145"/>
  <c r="AF11" i="145"/>
  <c r="AF8" i="145"/>
  <c r="AF9" i="145"/>
  <c r="AF12" i="145"/>
  <c r="AF13" i="145"/>
  <c r="AF15" i="145"/>
  <c r="AF17" i="145"/>
  <c r="AF19" i="145"/>
  <c r="AF22" i="144"/>
  <c r="AF19" i="144"/>
  <c r="AF17" i="144"/>
  <c r="AF15" i="144"/>
  <c r="AF13" i="144"/>
  <c r="AF9" i="144"/>
  <c r="AF11" i="144"/>
  <c r="AF14" i="144"/>
  <c r="AF16" i="144"/>
  <c r="AF18" i="144"/>
  <c r="AF20" i="144"/>
  <c r="AF21" i="144"/>
  <c r="AF23" i="144"/>
  <c r="AF8" i="144"/>
  <c r="AF10" i="144"/>
  <c r="AF12" i="144"/>
  <c r="F18" i="141"/>
  <c r="V8" i="141"/>
  <c r="R8" i="141"/>
  <c r="F8" i="138"/>
  <c r="J8" i="138"/>
  <c r="N8" i="138"/>
  <c r="R8" i="138"/>
  <c r="V8" i="138"/>
  <c r="AA8" i="138"/>
  <c r="AC8" i="138"/>
  <c r="AE8" i="138"/>
  <c r="F9" i="138"/>
  <c r="J9" i="138"/>
  <c r="N9" i="138"/>
  <c r="R9" i="138"/>
  <c r="V9" i="138"/>
  <c r="AA9" i="138"/>
  <c r="AC9" i="138"/>
  <c r="AE9" i="138"/>
  <c r="F10" i="138"/>
  <c r="J10" i="138"/>
  <c r="N10" i="138"/>
  <c r="R10" i="138"/>
  <c r="V10" i="138"/>
  <c r="AA10" i="138"/>
  <c r="AC10" i="138"/>
  <c r="AE10" i="138"/>
  <c r="F11" i="138"/>
  <c r="J11" i="138"/>
  <c r="N11" i="138"/>
  <c r="R11" i="138"/>
  <c r="V11" i="138"/>
  <c r="AA11" i="138"/>
  <c r="AC11" i="138"/>
  <c r="AE11" i="138"/>
  <c r="F12" i="138"/>
  <c r="J12" i="138"/>
  <c r="N12" i="138"/>
  <c r="R12" i="138"/>
  <c r="V12" i="138"/>
  <c r="AA12" i="138"/>
  <c r="AC12" i="138"/>
  <c r="AE12" i="138"/>
  <c r="F13" i="138"/>
  <c r="J13" i="138"/>
  <c r="N13" i="138"/>
  <c r="R13" i="138"/>
  <c r="V13" i="138"/>
  <c r="AA13" i="138"/>
  <c r="AC13" i="138"/>
  <c r="AE13" i="138"/>
  <c r="F14" i="138"/>
  <c r="J14" i="138"/>
  <c r="N14" i="138"/>
  <c r="R14" i="138"/>
  <c r="V14" i="138"/>
  <c r="AA14" i="138"/>
  <c r="AC14" i="138"/>
  <c r="AE14" i="138"/>
  <c r="F15" i="138"/>
  <c r="J15" i="138"/>
  <c r="N15" i="138"/>
  <c r="R15" i="138"/>
  <c r="V15" i="138"/>
  <c r="AA15" i="138"/>
  <c r="AC15" i="138"/>
  <c r="AE15" i="138"/>
  <c r="F16" i="138"/>
  <c r="J16" i="138"/>
  <c r="N16" i="138"/>
  <c r="R16" i="138"/>
  <c r="V16" i="138"/>
  <c r="AA16" i="138"/>
  <c r="AC16" i="138"/>
  <c r="AE16" i="138"/>
  <c r="F17" i="138"/>
  <c r="J17" i="138"/>
  <c r="N17" i="138"/>
  <c r="R17" i="138"/>
  <c r="V17" i="138"/>
  <c r="AA17" i="138"/>
  <c r="AC17" i="138"/>
  <c r="AE17" i="138"/>
  <c r="N22" i="143" l="1"/>
  <c r="J22" i="143"/>
  <c r="F22" i="143"/>
  <c r="V22" i="143"/>
  <c r="V21" i="143"/>
  <c r="R21" i="143"/>
  <c r="N21" i="143"/>
  <c r="J21" i="143"/>
  <c r="F21" i="143"/>
  <c r="R20" i="143"/>
  <c r="N20" i="143"/>
  <c r="J20" i="143"/>
  <c r="F20" i="143"/>
  <c r="V19" i="143"/>
  <c r="R19" i="143"/>
  <c r="N19" i="143"/>
  <c r="F19" i="143"/>
  <c r="V18" i="143"/>
  <c r="R18" i="143"/>
  <c r="N18" i="143"/>
  <c r="J18" i="143"/>
  <c r="F18" i="143"/>
  <c r="V17" i="143"/>
  <c r="R17" i="143"/>
  <c r="N17" i="143"/>
  <c r="J17" i="143"/>
  <c r="F17" i="143"/>
  <c r="V16" i="143"/>
  <c r="R16" i="143"/>
  <c r="N16" i="143"/>
  <c r="J16" i="143"/>
  <c r="F16" i="143"/>
  <c r="V15" i="143"/>
  <c r="R15" i="143"/>
  <c r="N15" i="143"/>
  <c r="J15" i="143"/>
  <c r="F15" i="143"/>
  <c r="V14" i="143"/>
  <c r="R14" i="143"/>
  <c r="J14" i="143"/>
  <c r="F14" i="143"/>
  <c r="V13" i="143"/>
  <c r="R13" i="143"/>
  <c r="N13" i="143"/>
  <c r="J13" i="143"/>
  <c r="V12" i="143"/>
  <c r="R12" i="143"/>
  <c r="N12" i="143"/>
  <c r="J12" i="143"/>
  <c r="F12" i="143"/>
  <c r="V11" i="143"/>
  <c r="R11" i="143"/>
  <c r="N11" i="143"/>
  <c r="J11" i="143"/>
  <c r="F11" i="143"/>
  <c r="V10" i="143"/>
  <c r="R10" i="143"/>
  <c r="N10" i="143"/>
  <c r="J10" i="143"/>
  <c r="F10" i="143"/>
  <c r="V9" i="143" l="1"/>
  <c r="R9" i="143"/>
  <c r="N9" i="143"/>
  <c r="J9" i="143"/>
  <c r="F9" i="143"/>
  <c r="V8" i="143"/>
  <c r="R8" i="143"/>
  <c r="N8" i="143"/>
  <c r="J8" i="143"/>
  <c r="F8" i="143"/>
  <c r="B303" i="143"/>
  <c r="A4" i="143"/>
  <c r="A2" i="143"/>
  <c r="C300" i="143"/>
  <c r="C301" i="143" s="1"/>
  <c r="C305" i="143" s="1"/>
  <c r="AO22" i="143"/>
  <c r="AP22" i="143" s="1"/>
  <c r="AM22" i="143"/>
  <c r="AN22" i="143" s="1"/>
  <c r="AK22" i="143"/>
  <c r="AI22" i="143"/>
  <c r="AE22" i="143"/>
  <c r="AC22" i="143"/>
  <c r="AA22" i="143"/>
  <c r="AO21" i="143"/>
  <c r="AP21" i="143" s="1"/>
  <c r="AM21" i="143"/>
  <c r="AN21" i="143" s="1"/>
  <c r="AK21" i="143"/>
  <c r="AI21" i="143"/>
  <c r="AE21" i="143"/>
  <c r="AC21" i="143"/>
  <c r="AA21" i="143"/>
  <c r="AP20" i="143"/>
  <c r="AO20" i="143"/>
  <c r="AN20" i="143"/>
  <c r="AM20" i="143"/>
  <c r="AK20" i="143"/>
  <c r="AI20" i="143"/>
  <c r="AE20" i="143"/>
  <c r="AC20" i="143"/>
  <c r="AO19" i="143"/>
  <c r="AP19" i="143" s="1"/>
  <c r="AM19" i="143"/>
  <c r="AN19" i="143" s="1"/>
  <c r="AK19" i="143"/>
  <c r="AI19" i="143"/>
  <c r="AE19" i="143"/>
  <c r="AC19" i="143"/>
  <c r="AA19" i="143"/>
  <c r="AO18" i="143"/>
  <c r="AP18" i="143" s="1"/>
  <c r="AM18" i="143"/>
  <c r="AN18" i="143" s="1"/>
  <c r="AK18" i="143"/>
  <c r="AI18" i="143"/>
  <c r="AE18" i="143"/>
  <c r="AC18" i="143"/>
  <c r="AA18" i="143"/>
  <c r="AO17" i="143"/>
  <c r="AP17" i="143" s="1"/>
  <c r="AM17" i="143"/>
  <c r="AN17" i="143" s="1"/>
  <c r="AK17" i="143"/>
  <c r="AI17" i="143"/>
  <c r="AE17" i="143"/>
  <c r="AC17" i="143"/>
  <c r="AA17" i="143"/>
  <c r="AP16" i="143"/>
  <c r="AO16" i="143"/>
  <c r="AN16" i="143"/>
  <c r="AM16" i="143"/>
  <c r="AK16" i="143"/>
  <c r="AI16" i="143"/>
  <c r="AE16" i="143"/>
  <c r="AC16" i="143"/>
  <c r="AA16" i="143"/>
  <c r="AO15" i="143"/>
  <c r="AP15" i="143" s="1"/>
  <c r="AM15" i="143"/>
  <c r="AN15" i="143" s="1"/>
  <c r="AK15" i="143"/>
  <c r="AI15" i="143"/>
  <c r="AE15" i="143"/>
  <c r="AC15" i="143"/>
  <c r="AA15" i="143"/>
  <c r="AO14" i="143"/>
  <c r="AP14" i="143" s="1"/>
  <c r="AM14" i="143"/>
  <c r="AN14" i="143" s="1"/>
  <c r="AK14" i="143"/>
  <c r="AI14" i="143"/>
  <c r="AE14" i="143"/>
  <c r="AC14" i="143"/>
  <c r="AA14" i="143"/>
  <c r="AO13" i="143"/>
  <c r="AP13" i="143" s="1"/>
  <c r="AM13" i="143"/>
  <c r="AN13" i="143" s="1"/>
  <c r="AK13" i="143"/>
  <c r="AI13" i="143"/>
  <c r="AE13" i="143"/>
  <c r="AC13" i="143"/>
  <c r="AA13" i="143"/>
  <c r="AO12" i="143"/>
  <c r="AP12" i="143" s="1"/>
  <c r="AM12" i="143"/>
  <c r="AN12" i="143" s="1"/>
  <c r="AK12" i="143"/>
  <c r="AI12" i="143"/>
  <c r="AE12" i="143"/>
  <c r="AC12" i="143"/>
  <c r="AA12" i="143"/>
  <c r="AO11" i="143"/>
  <c r="AP11" i="143" s="1"/>
  <c r="AM11" i="143"/>
  <c r="AN11" i="143" s="1"/>
  <c r="AK11" i="143"/>
  <c r="AI11" i="143"/>
  <c r="AE11" i="143"/>
  <c r="AC11" i="143"/>
  <c r="AA11" i="143"/>
  <c r="AO10" i="143"/>
  <c r="AP10" i="143" s="1"/>
  <c r="AM10" i="143"/>
  <c r="AN10" i="143" s="1"/>
  <c r="AK10" i="143"/>
  <c r="AI10" i="143"/>
  <c r="AE10" i="143"/>
  <c r="AC10" i="143"/>
  <c r="AA10" i="143"/>
  <c r="AO9" i="143"/>
  <c r="AP9" i="143" s="1"/>
  <c r="AM9" i="143"/>
  <c r="AN9" i="143" s="1"/>
  <c r="AK9" i="143"/>
  <c r="AI9" i="143"/>
  <c r="AE9" i="143"/>
  <c r="AC9" i="143"/>
  <c r="AA9" i="143"/>
  <c r="AP8" i="143"/>
  <c r="AO8" i="143"/>
  <c r="AN8" i="143"/>
  <c r="AM8" i="143"/>
  <c r="AK8" i="143"/>
  <c r="AI8" i="143"/>
  <c r="AE8" i="143"/>
  <c r="AC8" i="143"/>
  <c r="AA8" i="143"/>
  <c r="F1" i="143"/>
  <c r="R20" i="142"/>
  <c r="N20" i="142"/>
  <c r="J20" i="142"/>
  <c r="F20" i="142"/>
  <c r="V19" i="142"/>
  <c r="N19" i="142"/>
  <c r="J19" i="142"/>
  <c r="F19" i="142"/>
  <c r="V18" i="142"/>
  <c r="R18" i="142"/>
  <c r="J18" i="142"/>
  <c r="F18" i="142"/>
  <c r="V17" i="142"/>
  <c r="R17" i="142"/>
  <c r="N17" i="142"/>
  <c r="J17" i="142"/>
  <c r="F17" i="142"/>
  <c r="V16" i="142"/>
  <c r="R16" i="142"/>
  <c r="N16" i="142"/>
  <c r="F16" i="142"/>
  <c r="V15" i="142"/>
  <c r="R15" i="142"/>
  <c r="N15" i="142"/>
  <c r="J15" i="142"/>
  <c r="F15" i="142"/>
  <c r="V14" i="142"/>
  <c r="R14" i="142"/>
  <c r="N14" i="142"/>
  <c r="J14" i="142"/>
  <c r="F14" i="142"/>
  <c r="V13" i="142"/>
  <c r="R13" i="142"/>
  <c r="N13" i="142"/>
  <c r="J13" i="142"/>
  <c r="F13" i="142"/>
  <c r="V12" i="142"/>
  <c r="R12" i="142"/>
  <c r="N12" i="142"/>
  <c r="J12" i="142"/>
  <c r="F12" i="142"/>
  <c r="V11" i="142"/>
  <c r="R11" i="142"/>
  <c r="N11" i="142"/>
  <c r="J11" i="142"/>
  <c r="F11" i="142"/>
  <c r="V10" i="142"/>
  <c r="R10" i="142"/>
  <c r="N10" i="142"/>
  <c r="J10" i="142"/>
  <c r="F10" i="142"/>
  <c r="V9" i="142"/>
  <c r="R9" i="142"/>
  <c r="N9" i="142"/>
  <c r="J9" i="142"/>
  <c r="F9" i="142"/>
  <c r="V8" i="142"/>
  <c r="R8" i="142"/>
  <c r="N8" i="142"/>
  <c r="J8" i="142"/>
  <c r="C300" i="142"/>
  <c r="C301" i="142" s="1"/>
  <c r="C302" i="142" s="1"/>
  <c r="C303" i="142" s="1"/>
  <c r="C304" i="142" s="1"/>
  <c r="C305" i="142" s="1"/>
  <c r="C306" i="142" s="1"/>
  <c r="C307" i="142" s="1"/>
  <c r="C308" i="142" s="1"/>
  <c r="C309" i="142" s="1"/>
  <c r="C310" i="142" s="1"/>
  <c r="C311" i="142" s="1"/>
  <c r="C312" i="142" s="1"/>
  <c r="AO20" i="142"/>
  <c r="AP20" i="142" s="1"/>
  <c r="AM20" i="142"/>
  <c r="AN20" i="142" s="1"/>
  <c r="AK20" i="142"/>
  <c r="AI20" i="142"/>
  <c r="AE20" i="142"/>
  <c r="AC20" i="142"/>
  <c r="AA20" i="142"/>
  <c r="AO19" i="142"/>
  <c r="AP19" i="142" s="1"/>
  <c r="AM19" i="142"/>
  <c r="AN19" i="142" s="1"/>
  <c r="AK19" i="142"/>
  <c r="AI19" i="142"/>
  <c r="AE19" i="142"/>
  <c r="AC19" i="142"/>
  <c r="AA19" i="142"/>
  <c r="AP18" i="142"/>
  <c r="AO18" i="142"/>
  <c r="AN18" i="142"/>
  <c r="AM18" i="142"/>
  <c r="AK18" i="142"/>
  <c r="AI18" i="142"/>
  <c r="AE18" i="142"/>
  <c r="AC18" i="142"/>
  <c r="AA18" i="142"/>
  <c r="AO17" i="142"/>
  <c r="AP17" i="142" s="1"/>
  <c r="AM17" i="142"/>
  <c r="AN17" i="142" s="1"/>
  <c r="AK17" i="142"/>
  <c r="AI17" i="142"/>
  <c r="AE17" i="142"/>
  <c r="AC17" i="142"/>
  <c r="AA17" i="142"/>
  <c r="AO16" i="142"/>
  <c r="AP16" i="142" s="1"/>
  <c r="AM16" i="142"/>
  <c r="AN16" i="142" s="1"/>
  <c r="AK16" i="142"/>
  <c r="AI16" i="142"/>
  <c r="AE16" i="142"/>
  <c r="AC16" i="142"/>
  <c r="AA16" i="142"/>
  <c r="AO15" i="142"/>
  <c r="AP15" i="142" s="1"/>
  <c r="AM15" i="142"/>
  <c r="AN15" i="142" s="1"/>
  <c r="AK15" i="142"/>
  <c r="AI15" i="142"/>
  <c r="AE15" i="142"/>
  <c r="AC15" i="142"/>
  <c r="AA15" i="142"/>
  <c r="AP14" i="142"/>
  <c r="AO14" i="142"/>
  <c r="AN14" i="142"/>
  <c r="AM14" i="142"/>
  <c r="AK14" i="142"/>
  <c r="AI14" i="142"/>
  <c r="AE14" i="142"/>
  <c r="AC14" i="142"/>
  <c r="AA14" i="142"/>
  <c r="AO13" i="142"/>
  <c r="AP13" i="142" s="1"/>
  <c r="AM13" i="142"/>
  <c r="AN13" i="142" s="1"/>
  <c r="AK13" i="142"/>
  <c r="AI13" i="142"/>
  <c r="AE13" i="142"/>
  <c r="AC13" i="142"/>
  <c r="AA13" i="142"/>
  <c r="AO12" i="142"/>
  <c r="AP12" i="142" s="1"/>
  <c r="AM12" i="142"/>
  <c r="AN12" i="142" s="1"/>
  <c r="AK12" i="142"/>
  <c r="AI12" i="142"/>
  <c r="AE12" i="142"/>
  <c r="AC12" i="142"/>
  <c r="AA12" i="142"/>
  <c r="AO11" i="142"/>
  <c r="AP11" i="142" s="1"/>
  <c r="AM11" i="142"/>
  <c r="AN11" i="142" s="1"/>
  <c r="AK11" i="142"/>
  <c r="AI11" i="142"/>
  <c r="AE11" i="142"/>
  <c r="AC11" i="142"/>
  <c r="AA11" i="142"/>
  <c r="AP10" i="142"/>
  <c r="AO10" i="142"/>
  <c r="AN10" i="142"/>
  <c r="AM10" i="142"/>
  <c r="AK10" i="142"/>
  <c r="AI10" i="142"/>
  <c r="AE10" i="142"/>
  <c r="AC10" i="142"/>
  <c r="AA10" i="142"/>
  <c r="AO9" i="142"/>
  <c r="AP9" i="142" s="1"/>
  <c r="AM9" i="142"/>
  <c r="AN9" i="142" s="1"/>
  <c r="AK9" i="142"/>
  <c r="AI9" i="142"/>
  <c r="AE9" i="142"/>
  <c r="AC9" i="142"/>
  <c r="AA9" i="142"/>
  <c r="AO8" i="142"/>
  <c r="AP8" i="142" s="1"/>
  <c r="AM8" i="142"/>
  <c r="AN8" i="142" s="1"/>
  <c r="AK8" i="142"/>
  <c r="AI8" i="142"/>
  <c r="AE8" i="142"/>
  <c r="AC8" i="142"/>
  <c r="AA8" i="142"/>
  <c r="F1" i="142"/>
  <c r="C300" i="141"/>
  <c r="C311" i="141"/>
  <c r="C312" i="141" s="1"/>
  <c r="C313" i="141" s="1"/>
  <c r="C301" i="141"/>
  <c r="V21" i="141"/>
  <c r="R21" i="141"/>
  <c r="F21" i="141"/>
  <c r="N21" i="141"/>
  <c r="J21" i="141"/>
  <c r="V20" i="141"/>
  <c r="R20" i="141"/>
  <c r="N20" i="141"/>
  <c r="J20" i="141"/>
  <c r="F20" i="141"/>
  <c r="V19" i="141"/>
  <c r="R19" i="141"/>
  <c r="N19" i="141"/>
  <c r="J19" i="141"/>
  <c r="F19" i="141"/>
  <c r="V18" i="141"/>
  <c r="R18" i="141"/>
  <c r="N18" i="141"/>
  <c r="J18" i="141"/>
  <c r="V16" i="141"/>
  <c r="R16" i="141"/>
  <c r="N16" i="141"/>
  <c r="J16" i="141"/>
  <c r="F16" i="141"/>
  <c r="V17" i="141"/>
  <c r="R17" i="141"/>
  <c r="N17" i="141"/>
  <c r="J17" i="141"/>
  <c r="F17" i="141"/>
  <c r="V15" i="141"/>
  <c r="R15" i="141"/>
  <c r="N15" i="141"/>
  <c r="J15" i="141"/>
  <c r="F15" i="141"/>
  <c r="V14" i="141"/>
  <c r="R14" i="141"/>
  <c r="N14" i="141"/>
  <c r="J14" i="141"/>
  <c r="F14" i="141"/>
  <c r="V13" i="141"/>
  <c r="R13" i="141"/>
  <c r="N13" i="141"/>
  <c r="J13" i="141"/>
  <c r="F13" i="141"/>
  <c r="B306" i="141"/>
  <c r="V12" i="141"/>
  <c r="R12" i="141"/>
  <c r="N12" i="141"/>
  <c r="J12" i="141"/>
  <c r="F12" i="141"/>
  <c r="V10" i="141"/>
  <c r="R10" i="141"/>
  <c r="N10" i="141"/>
  <c r="J10" i="141"/>
  <c r="F10" i="141"/>
  <c r="V11" i="141"/>
  <c r="R11" i="141"/>
  <c r="N11" i="141"/>
  <c r="J11" i="141"/>
  <c r="F11" i="141"/>
  <c r="V9" i="141"/>
  <c r="R9" i="141"/>
  <c r="N9" i="141"/>
  <c r="J9" i="141"/>
  <c r="F9" i="141"/>
  <c r="N8" i="141"/>
  <c r="J8" i="141"/>
  <c r="F8" i="141"/>
  <c r="AO21" i="141"/>
  <c r="AP21" i="141" s="1"/>
  <c r="AM21" i="141"/>
  <c r="AN21" i="141" s="1"/>
  <c r="AK21" i="141"/>
  <c r="AI21" i="141"/>
  <c r="AE21" i="141"/>
  <c r="AC21" i="141"/>
  <c r="AA21" i="141"/>
  <c r="AO20" i="141"/>
  <c r="AP20" i="141" s="1"/>
  <c r="AM20" i="141"/>
  <c r="AN20" i="141" s="1"/>
  <c r="AK20" i="141"/>
  <c r="AI20" i="141"/>
  <c r="AE20" i="141"/>
  <c r="AC20" i="141"/>
  <c r="AA20" i="141"/>
  <c r="AO19" i="141"/>
  <c r="AP19" i="141" s="1"/>
  <c r="AM19" i="141"/>
  <c r="AN19" i="141" s="1"/>
  <c r="AK19" i="141"/>
  <c r="AI19" i="141"/>
  <c r="AE19" i="141"/>
  <c r="AC19" i="141"/>
  <c r="AA19" i="141"/>
  <c r="AO18" i="141"/>
  <c r="AM18" i="141"/>
  <c r="AK18" i="141"/>
  <c r="AL18" i="141" s="1"/>
  <c r="AI18" i="141"/>
  <c r="AE18" i="141"/>
  <c r="AC18" i="141"/>
  <c r="AA18" i="141"/>
  <c r="AO17" i="141"/>
  <c r="AP17" i="141" s="1"/>
  <c r="AM17" i="141"/>
  <c r="AN17" i="141" s="1"/>
  <c r="AK17" i="141"/>
  <c r="AI17" i="141"/>
  <c r="AE16" i="141"/>
  <c r="AC16" i="141"/>
  <c r="AA17" i="141"/>
  <c r="AO16" i="141"/>
  <c r="AP16" i="141" s="1"/>
  <c r="AM16" i="141"/>
  <c r="AN16" i="141" s="1"/>
  <c r="AK16" i="141"/>
  <c r="AI16" i="141"/>
  <c r="AE17" i="141"/>
  <c r="AC17" i="141"/>
  <c r="AA16" i="141"/>
  <c r="AO15" i="141"/>
  <c r="AP15" i="141" s="1"/>
  <c r="AM15" i="141"/>
  <c r="AN15" i="141" s="1"/>
  <c r="AK15" i="141"/>
  <c r="AI15" i="141"/>
  <c r="AE15" i="141"/>
  <c r="AC15" i="141"/>
  <c r="AA15" i="141"/>
  <c r="AO14" i="141"/>
  <c r="AP14" i="141" s="1"/>
  <c r="AM14" i="141"/>
  <c r="AN14" i="141" s="1"/>
  <c r="AK14" i="141"/>
  <c r="AI14" i="141"/>
  <c r="AE14" i="141"/>
  <c r="AC14" i="141"/>
  <c r="AA14" i="141"/>
  <c r="AO13" i="141"/>
  <c r="AP13" i="141" s="1"/>
  <c r="AM13" i="141"/>
  <c r="AN13" i="141" s="1"/>
  <c r="AK13" i="141"/>
  <c r="AI13" i="141"/>
  <c r="AE13" i="141"/>
  <c r="AC13" i="141"/>
  <c r="AA13" i="141"/>
  <c r="AO12" i="141"/>
  <c r="AP12" i="141" s="1"/>
  <c r="AM12" i="141"/>
  <c r="AN12" i="141" s="1"/>
  <c r="AK12" i="141"/>
  <c r="AI12" i="141"/>
  <c r="AE12" i="141"/>
  <c r="AC12" i="141"/>
  <c r="AA12" i="141"/>
  <c r="AO11" i="141"/>
  <c r="AP11" i="141" s="1"/>
  <c r="AM11" i="141"/>
  <c r="AN11" i="141" s="1"/>
  <c r="AK11" i="141"/>
  <c r="AI11" i="141"/>
  <c r="AE10" i="141"/>
  <c r="AC10" i="141"/>
  <c r="AA10" i="141"/>
  <c r="AO10" i="141"/>
  <c r="AP10" i="141" s="1"/>
  <c r="AM10" i="141"/>
  <c r="AN10" i="141" s="1"/>
  <c r="AK10" i="141"/>
  <c r="AI10" i="141"/>
  <c r="AE11" i="141"/>
  <c r="AC11" i="141"/>
  <c r="AA11" i="141"/>
  <c r="AO9" i="141"/>
  <c r="AM9" i="141"/>
  <c r="AK9" i="141"/>
  <c r="AL9" i="141" s="1"/>
  <c r="AI9" i="141"/>
  <c r="AE9" i="141"/>
  <c r="AC9" i="141"/>
  <c r="AA9" i="141"/>
  <c r="AO8" i="141"/>
  <c r="AP8" i="141" s="1"/>
  <c r="AM8" i="141"/>
  <c r="AN8" i="141" s="1"/>
  <c r="AK8" i="141"/>
  <c r="AI8" i="141"/>
  <c r="AE8" i="141"/>
  <c r="AC8" i="141"/>
  <c r="AA8" i="141"/>
  <c r="F1" i="141"/>
  <c r="V23" i="140"/>
  <c r="R23" i="140"/>
  <c r="N23" i="140"/>
  <c r="J23" i="140"/>
  <c r="F23" i="140"/>
  <c r="V22" i="140"/>
  <c r="R22" i="140"/>
  <c r="N22" i="140"/>
  <c r="J22" i="140"/>
  <c r="F22" i="140"/>
  <c r="V21" i="140"/>
  <c r="R21" i="140"/>
  <c r="N21" i="140"/>
  <c r="J21" i="140"/>
  <c r="F21" i="140"/>
  <c r="V20" i="140"/>
  <c r="R20" i="140"/>
  <c r="N20" i="140"/>
  <c r="J20" i="140"/>
  <c r="F20" i="140"/>
  <c r="V19" i="140"/>
  <c r="R19" i="140"/>
  <c r="N19" i="140"/>
  <c r="J19" i="140"/>
  <c r="F19" i="140"/>
  <c r="V18" i="140"/>
  <c r="R18" i="140"/>
  <c r="N18" i="140"/>
  <c r="J18" i="140"/>
  <c r="F18" i="140"/>
  <c r="V17" i="140"/>
  <c r="R17" i="140"/>
  <c r="N17" i="140"/>
  <c r="J17" i="140"/>
  <c r="F17" i="140"/>
  <c r="V16" i="140"/>
  <c r="R16" i="140"/>
  <c r="N16" i="140"/>
  <c r="J16" i="140"/>
  <c r="F16" i="140"/>
  <c r="V15" i="140"/>
  <c r="R15" i="140"/>
  <c r="N15" i="140"/>
  <c r="J15" i="140"/>
  <c r="F15" i="140"/>
  <c r="V12" i="140"/>
  <c r="R12" i="140"/>
  <c r="N12" i="140"/>
  <c r="J12" i="140"/>
  <c r="F12" i="140"/>
  <c r="V13" i="140"/>
  <c r="R13" i="140"/>
  <c r="N13" i="140"/>
  <c r="J13" i="140"/>
  <c r="F13" i="140"/>
  <c r="V14" i="140"/>
  <c r="R14" i="140"/>
  <c r="N14" i="140"/>
  <c r="J14" i="140"/>
  <c r="F14" i="140"/>
  <c r="V11" i="140"/>
  <c r="R11" i="140"/>
  <c r="N11" i="140"/>
  <c r="J11" i="140"/>
  <c r="F11" i="140"/>
  <c r="V10" i="140"/>
  <c r="R10" i="140"/>
  <c r="N10" i="140"/>
  <c r="J10" i="140"/>
  <c r="F10" i="140"/>
  <c r="V9" i="140"/>
  <c r="R9" i="140"/>
  <c r="N9" i="140"/>
  <c r="J9" i="140"/>
  <c r="F9" i="140"/>
  <c r="V8" i="140"/>
  <c r="R8" i="140"/>
  <c r="N8" i="140"/>
  <c r="J8" i="140"/>
  <c r="F8" i="140"/>
  <c r="B314" i="140"/>
  <c r="B305" i="140"/>
  <c r="B303" i="140"/>
  <c r="A4" i="140"/>
  <c r="A2" i="140"/>
  <c r="AO23" i="140"/>
  <c r="AP23" i="140" s="1"/>
  <c r="AM23" i="140"/>
  <c r="AN23" i="140" s="1"/>
  <c r="AK23" i="140"/>
  <c r="AI23" i="140"/>
  <c r="AE23" i="140"/>
  <c r="AC23" i="140"/>
  <c r="AA23" i="140"/>
  <c r="AO22" i="140"/>
  <c r="AP22" i="140" s="1"/>
  <c r="AM22" i="140"/>
  <c r="AN22" i="140" s="1"/>
  <c r="AK22" i="140"/>
  <c r="AI22" i="140"/>
  <c r="AE22" i="140"/>
  <c r="AC22" i="140"/>
  <c r="AA22" i="140"/>
  <c r="AO21" i="140"/>
  <c r="AM21" i="140"/>
  <c r="AK21" i="140"/>
  <c r="AL21" i="140" s="1"/>
  <c r="AI21" i="140"/>
  <c r="AE21" i="140"/>
  <c r="AC21" i="140"/>
  <c r="AA21" i="140"/>
  <c r="AO20" i="140"/>
  <c r="AP20" i="140" s="1"/>
  <c r="AM20" i="140"/>
  <c r="AN20" i="140" s="1"/>
  <c r="AK20" i="140"/>
  <c r="AI20" i="140"/>
  <c r="AE20" i="140"/>
  <c r="AC20" i="140"/>
  <c r="AA20" i="140"/>
  <c r="AO19" i="140"/>
  <c r="AP19" i="140" s="1"/>
  <c r="AM19" i="140"/>
  <c r="AN19" i="140" s="1"/>
  <c r="AK19" i="140"/>
  <c r="AI19" i="140"/>
  <c r="AE19" i="140"/>
  <c r="AC19" i="140"/>
  <c r="AA19" i="140"/>
  <c r="AO18" i="140"/>
  <c r="AP18" i="140" s="1"/>
  <c r="AM18" i="140"/>
  <c r="AN18" i="140" s="1"/>
  <c r="AK18" i="140"/>
  <c r="AI18" i="140"/>
  <c r="AE18" i="140"/>
  <c r="AC18" i="140"/>
  <c r="AA18" i="140"/>
  <c r="AO17" i="140"/>
  <c r="AP17" i="140" s="1"/>
  <c r="AM17" i="140"/>
  <c r="AN17" i="140" s="1"/>
  <c r="AK17" i="140"/>
  <c r="AI17" i="140"/>
  <c r="AE17" i="140"/>
  <c r="AC17" i="140"/>
  <c r="AA17" i="140"/>
  <c r="AO16" i="140"/>
  <c r="AP16" i="140" s="1"/>
  <c r="AM16" i="140"/>
  <c r="AN16" i="140" s="1"/>
  <c r="AK16" i="140"/>
  <c r="AI16" i="140"/>
  <c r="AE16" i="140"/>
  <c r="AC16" i="140"/>
  <c r="AA16" i="140"/>
  <c r="AO15" i="140"/>
  <c r="AP15" i="140" s="1"/>
  <c r="AM15" i="140"/>
  <c r="AN15" i="140" s="1"/>
  <c r="AK15" i="140"/>
  <c r="AI15" i="140"/>
  <c r="AE15" i="140"/>
  <c r="AC15" i="140"/>
  <c r="AA15" i="140"/>
  <c r="AO14" i="140"/>
  <c r="AP14" i="140" s="1"/>
  <c r="AM14" i="140"/>
  <c r="AN14" i="140" s="1"/>
  <c r="AK14" i="140"/>
  <c r="AI14" i="140"/>
  <c r="AE12" i="140"/>
  <c r="AC12" i="140"/>
  <c r="AA12" i="140"/>
  <c r="AO13" i="140"/>
  <c r="AP13" i="140" s="1"/>
  <c r="AM13" i="140"/>
  <c r="AN13" i="140" s="1"/>
  <c r="AK13" i="140"/>
  <c r="AI13" i="140"/>
  <c r="AE13" i="140"/>
  <c r="AC13" i="140"/>
  <c r="AA13" i="140"/>
  <c r="AO12" i="140"/>
  <c r="AP12" i="140" s="1"/>
  <c r="AM12" i="140"/>
  <c r="AN12" i="140" s="1"/>
  <c r="AK12" i="140"/>
  <c r="AI12" i="140"/>
  <c r="AE14" i="140"/>
  <c r="AC14" i="140"/>
  <c r="AA14" i="140"/>
  <c r="AO11" i="140"/>
  <c r="AP11" i="140" s="1"/>
  <c r="AM11" i="140"/>
  <c r="AN11" i="140" s="1"/>
  <c r="AK11" i="140"/>
  <c r="AI11" i="140"/>
  <c r="AE11" i="140"/>
  <c r="AC11" i="140"/>
  <c r="AA11" i="140"/>
  <c r="AO10" i="140"/>
  <c r="AP10" i="140" s="1"/>
  <c r="AM10" i="140"/>
  <c r="AN10" i="140" s="1"/>
  <c r="AK10" i="140"/>
  <c r="AI10" i="140"/>
  <c r="AE10" i="140"/>
  <c r="AC10" i="140"/>
  <c r="AA10" i="140"/>
  <c r="AO9" i="140"/>
  <c r="AP9" i="140" s="1"/>
  <c r="AM9" i="140"/>
  <c r="AN9" i="140" s="1"/>
  <c r="AK9" i="140"/>
  <c r="AI9" i="140"/>
  <c r="AE9" i="140"/>
  <c r="AC9" i="140"/>
  <c r="AA9" i="140"/>
  <c r="AO8" i="140"/>
  <c r="AP8" i="140" s="1"/>
  <c r="AM8" i="140"/>
  <c r="AN8" i="140" s="1"/>
  <c r="AK8" i="140"/>
  <c r="AI8" i="140"/>
  <c r="AE8" i="140"/>
  <c r="AC8" i="140"/>
  <c r="AA8" i="140"/>
  <c r="F1" i="140"/>
  <c r="AI4" i="88"/>
  <c r="B302" i="138"/>
  <c r="C300" i="138"/>
  <c r="C304" i="138"/>
  <c r="C305" i="138" s="1"/>
  <c r="C306" i="138" s="1"/>
  <c r="C307" i="138" s="1"/>
  <c r="C308" i="138" s="1"/>
  <c r="C309" i="138" s="1"/>
  <c r="A4" i="138"/>
  <c r="A2" i="138"/>
  <c r="AO17" i="138"/>
  <c r="AP17" i="138" s="1"/>
  <c r="AM17" i="138"/>
  <c r="AN17" i="138" s="1"/>
  <c r="AK17" i="138"/>
  <c r="AI17" i="138"/>
  <c r="AO16" i="138"/>
  <c r="AP16" i="138" s="1"/>
  <c r="AM16" i="138"/>
  <c r="AN16" i="138" s="1"/>
  <c r="AK16" i="138"/>
  <c r="AI16" i="138"/>
  <c r="AO15" i="138"/>
  <c r="AP15" i="138" s="1"/>
  <c r="AM15" i="138"/>
  <c r="AN15" i="138" s="1"/>
  <c r="AK15" i="138"/>
  <c r="AI15" i="138"/>
  <c r="AO14" i="138"/>
  <c r="AP14" i="138" s="1"/>
  <c r="AM14" i="138"/>
  <c r="AN14" i="138" s="1"/>
  <c r="AK14" i="138"/>
  <c r="AI14" i="138"/>
  <c r="AO13" i="138"/>
  <c r="AP13" i="138" s="1"/>
  <c r="AM13" i="138"/>
  <c r="AN13" i="138" s="1"/>
  <c r="AK13" i="138"/>
  <c r="AI13" i="138"/>
  <c r="AO12" i="138"/>
  <c r="AP12" i="138" s="1"/>
  <c r="AM12" i="138"/>
  <c r="AN12" i="138" s="1"/>
  <c r="AK12" i="138"/>
  <c r="AI12" i="138"/>
  <c r="AO11" i="138"/>
  <c r="AP11" i="138" s="1"/>
  <c r="AM11" i="138"/>
  <c r="AN11" i="138" s="1"/>
  <c r="AK11" i="138"/>
  <c r="AI11" i="138"/>
  <c r="AO10" i="138"/>
  <c r="AP10" i="138" s="1"/>
  <c r="AM10" i="138"/>
  <c r="AN10" i="138" s="1"/>
  <c r="AK10" i="138"/>
  <c r="AI10" i="138"/>
  <c r="AO9" i="138"/>
  <c r="AP9" i="138" s="1"/>
  <c r="AM9" i="138"/>
  <c r="AN9" i="138" s="1"/>
  <c r="AK9" i="138"/>
  <c r="AI9" i="138"/>
  <c r="AO8" i="138"/>
  <c r="AP8" i="138" s="1"/>
  <c r="AM8" i="138"/>
  <c r="AN8" i="138" s="1"/>
  <c r="AK8" i="138"/>
  <c r="AI8" i="138"/>
  <c r="F1" i="138"/>
  <c r="C306" i="143" l="1"/>
  <c r="AF22" i="143"/>
  <c r="AF21" i="143"/>
  <c r="AF20" i="143"/>
  <c r="AF19" i="143"/>
  <c r="AF18" i="143"/>
  <c r="AF17" i="143"/>
  <c r="AF16" i="143"/>
  <c r="AF15" i="143"/>
  <c r="AF14" i="143"/>
  <c r="AF13" i="143"/>
  <c r="AF12" i="143"/>
  <c r="AF11" i="143"/>
  <c r="AF10" i="143"/>
  <c r="AF9" i="143"/>
  <c r="AF8" i="143"/>
  <c r="AF20" i="142"/>
  <c r="AF19" i="142"/>
  <c r="AF18" i="142"/>
  <c r="AF17" i="142"/>
  <c r="AF16" i="142"/>
  <c r="AF15" i="142"/>
  <c r="AF14" i="142"/>
  <c r="AF13" i="142"/>
  <c r="AF12" i="142"/>
  <c r="AF11" i="142"/>
  <c r="AF10" i="142"/>
  <c r="AF9" i="142"/>
  <c r="AF8" i="142"/>
  <c r="AF21" i="141"/>
  <c r="AF20" i="141"/>
  <c r="AF19" i="141"/>
  <c r="AF18" i="141"/>
  <c r="AF17" i="141"/>
  <c r="AF16" i="141"/>
  <c r="AF15" i="141"/>
  <c r="AF14" i="141"/>
  <c r="AF13" i="141"/>
  <c r="AF12" i="141"/>
  <c r="AF11" i="141"/>
  <c r="AF10" i="141"/>
  <c r="AF9" i="141"/>
  <c r="AF8" i="141"/>
  <c r="AF23" i="140"/>
  <c r="AF22" i="140"/>
  <c r="AF21" i="140"/>
  <c r="AF20" i="140"/>
  <c r="AF19" i="140"/>
  <c r="AF18" i="140"/>
  <c r="AF17" i="140"/>
  <c r="AF16" i="140"/>
  <c r="AF15" i="140"/>
  <c r="AF14" i="140"/>
  <c r="AF13" i="140"/>
  <c r="AF12" i="140"/>
  <c r="AF11" i="140"/>
  <c r="AF10" i="140"/>
  <c r="AF9" i="140"/>
  <c r="AF8" i="140"/>
  <c r="AF8" i="138"/>
  <c r="AF9" i="138"/>
  <c r="AF10" i="138"/>
  <c r="AF11" i="138"/>
  <c r="AF12" i="138"/>
  <c r="AF13" i="138"/>
  <c r="AF14" i="138"/>
  <c r="AF15" i="138"/>
  <c r="AF16" i="138"/>
  <c r="AF17" i="138"/>
  <c r="C307" i="143" l="1"/>
  <c r="Q9" i="64"/>
  <c r="T9" i="64"/>
  <c r="V9" i="64"/>
  <c r="AB9" i="64"/>
  <c r="Q10" i="64"/>
  <c r="T10" i="64"/>
  <c r="V10" i="64"/>
  <c r="AB10" i="64"/>
  <c r="Q11" i="64"/>
  <c r="T11" i="64"/>
  <c r="V11" i="64"/>
  <c r="AB11" i="64"/>
  <c r="Q12" i="64"/>
  <c r="T12" i="64"/>
  <c r="V12" i="64"/>
  <c r="AB12" i="64"/>
  <c r="Q13" i="64"/>
  <c r="T13" i="64"/>
  <c r="V13" i="64"/>
  <c r="AB13" i="64"/>
  <c r="Q14" i="64"/>
  <c r="T14" i="64"/>
  <c r="V14" i="64"/>
  <c r="AB14" i="64"/>
  <c r="Q15" i="64"/>
  <c r="T15" i="64"/>
  <c r="V15" i="64"/>
  <c r="AB15" i="64"/>
  <c r="Q16" i="64"/>
  <c r="T16" i="64"/>
  <c r="V16" i="64"/>
  <c r="AB16" i="64"/>
  <c r="Q17" i="64"/>
  <c r="T17" i="64"/>
  <c r="V17" i="64"/>
  <c r="AB17" i="64"/>
  <c r="Q18" i="64"/>
  <c r="T18" i="64"/>
  <c r="V18" i="64"/>
  <c r="AB18" i="64"/>
  <c r="Q19" i="64"/>
  <c r="T19" i="64"/>
  <c r="V19" i="64"/>
  <c r="AB19" i="64"/>
  <c r="Q20" i="64"/>
  <c r="T20" i="64"/>
  <c r="V20" i="64"/>
  <c r="AB20" i="64"/>
  <c r="Q21" i="64"/>
  <c r="T21" i="64"/>
  <c r="V21" i="64"/>
  <c r="AB21" i="64"/>
  <c r="Q22" i="64"/>
  <c r="T22" i="64"/>
  <c r="V22" i="64"/>
  <c r="AB22" i="64"/>
  <c r="Q23" i="64"/>
  <c r="T23" i="64"/>
  <c r="V23" i="64"/>
  <c r="AB23" i="64"/>
  <c r="Q24" i="64"/>
  <c r="T24" i="64"/>
  <c r="V24" i="64"/>
  <c r="AB24" i="64"/>
  <c r="Q25" i="64"/>
  <c r="T25" i="64"/>
  <c r="V25" i="64"/>
  <c r="AB25" i="64"/>
  <c r="Q26" i="64"/>
  <c r="T26" i="64"/>
  <c r="V26" i="64"/>
  <c r="AB26" i="64"/>
  <c r="Q27" i="64"/>
  <c r="T27" i="64"/>
  <c r="V27" i="64"/>
  <c r="AB27" i="64"/>
  <c r="Q28" i="64"/>
  <c r="T28" i="64"/>
  <c r="V28" i="64"/>
  <c r="AB28" i="64"/>
  <c r="Q29" i="64"/>
  <c r="T29" i="64"/>
  <c r="V29" i="64"/>
  <c r="AB29" i="64"/>
  <c r="Q30" i="64"/>
  <c r="T30" i="64"/>
  <c r="V30" i="64"/>
  <c r="AB30" i="64"/>
  <c r="Q31" i="64"/>
  <c r="T31" i="64"/>
  <c r="V31" i="64"/>
  <c r="AB31" i="64"/>
  <c r="Q32" i="64"/>
  <c r="T32" i="64"/>
  <c r="V32" i="64"/>
  <c r="AB32" i="64"/>
  <c r="Q33" i="64"/>
  <c r="T33" i="64"/>
  <c r="V33" i="64"/>
  <c r="AB33" i="64"/>
  <c r="Q34" i="64"/>
  <c r="T34" i="64"/>
  <c r="V34" i="64"/>
  <c r="AB34" i="64"/>
  <c r="Q35" i="64"/>
  <c r="T35" i="64"/>
  <c r="V35" i="64"/>
  <c r="AB35" i="64"/>
  <c r="Q36" i="64"/>
  <c r="T36" i="64"/>
  <c r="V36" i="64"/>
  <c r="AB36" i="64"/>
  <c r="Q37" i="64"/>
  <c r="T37" i="64"/>
  <c r="V37" i="64"/>
  <c r="AB37" i="64"/>
  <c r="Q38" i="64"/>
  <c r="T38" i="64"/>
  <c r="V38" i="64"/>
  <c r="AB38" i="64"/>
  <c r="Q39" i="64"/>
  <c r="T39" i="64"/>
  <c r="V39" i="64"/>
  <c r="AB39" i="64"/>
  <c r="Q40" i="64"/>
  <c r="T40" i="64"/>
  <c r="V40" i="64"/>
  <c r="AB40" i="64"/>
  <c r="Q42" i="64"/>
  <c r="T42" i="64"/>
  <c r="V42" i="64"/>
  <c r="AB42" i="64"/>
  <c r="Q43" i="64"/>
  <c r="T43" i="64"/>
  <c r="V43" i="64"/>
  <c r="AB43" i="64"/>
  <c r="Q44" i="64"/>
  <c r="T44" i="64"/>
  <c r="V44" i="64"/>
  <c r="AB44" i="64"/>
  <c r="Q45" i="64"/>
  <c r="T45" i="64"/>
  <c r="V45" i="64"/>
  <c r="AB45" i="64"/>
  <c r="Q46" i="64"/>
  <c r="T46" i="64"/>
  <c r="V46" i="64"/>
  <c r="AB46" i="64"/>
  <c r="Q47" i="64"/>
  <c r="T47" i="64"/>
  <c r="V47" i="64"/>
  <c r="AB47" i="64"/>
  <c r="Q48" i="64"/>
  <c r="T48" i="64"/>
  <c r="V48" i="64"/>
  <c r="AB48" i="64"/>
  <c r="Q49" i="64"/>
  <c r="T49" i="64"/>
  <c r="V49" i="64"/>
  <c r="AB49" i="64"/>
  <c r="Q50" i="64"/>
  <c r="T50" i="64"/>
  <c r="V50" i="64"/>
  <c r="AB50" i="64"/>
  <c r="Q51" i="64"/>
  <c r="T51" i="64"/>
  <c r="V51" i="64"/>
  <c r="AB51" i="64"/>
  <c r="Q52" i="64"/>
  <c r="T52" i="64"/>
  <c r="V52" i="64"/>
  <c r="AB52" i="64"/>
  <c r="Q53" i="64"/>
  <c r="T53" i="64"/>
  <c r="V53" i="64"/>
  <c r="AB53" i="64"/>
  <c r="C308" i="143" l="1"/>
  <c r="AB8" i="64"/>
  <c r="C309" i="143" l="1"/>
  <c r="F8" i="137"/>
  <c r="J8" i="137"/>
  <c r="J8" i="136"/>
  <c r="F20" i="136"/>
  <c r="J20" i="136"/>
  <c r="N20" i="136"/>
  <c r="R20" i="136"/>
  <c r="V20" i="136"/>
  <c r="AA20" i="136"/>
  <c r="AC20" i="136"/>
  <c r="AE20" i="136"/>
  <c r="F21" i="136"/>
  <c r="J21" i="136"/>
  <c r="N21" i="136"/>
  <c r="R21" i="136"/>
  <c r="V21" i="136"/>
  <c r="AA21" i="136"/>
  <c r="AC21" i="136"/>
  <c r="AE21" i="136"/>
  <c r="F8" i="136"/>
  <c r="N8" i="136"/>
  <c r="R8" i="136"/>
  <c r="V8" i="136"/>
  <c r="AA8" i="136"/>
  <c r="AC8" i="136"/>
  <c r="AE8" i="136"/>
  <c r="F9" i="136"/>
  <c r="J9" i="136"/>
  <c r="N9" i="136"/>
  <c r="R9" i="136"/>
  <c r="V9" i="136"/>
  <c r="AA9" i="136"/>
  <c r="AC9" i="136"/>
  <c r="AE9" i="136"/>
  <c r="F10" i="136"/>
  <c r="J10" i="136"/>
  <c r="N10" i="136"/>
  <c r="R10" i="136"/>
  <c r="V10" i="136"/>
  <c r="AA10" i="136"/>
  <c r="AC10" i="136"/>
  <c r="AE10" i="136"/>
  <c r="F11" i="136"/>
  <c r="J11" i="136"/>
  <c r="N11" i="136"/>
  <c r="R11" i="136"/>
  <c r="V11" i="136"/>
  <c r="AA11" i="136"/>
  <c r="AC11" i="136"/>
  <c r="AE11" i="136"/>
  <c r="F12" i="136"/>
  <c r="J12" i="136"/>
  <c r="N12" i="136"/>
  <c r="R12" i="136"/>
  <c r="V12" i="136"/>
  <c r="AA12" i="136"/>
  <c r="AC12" i="136"/>
  <c r="AE12" i="136"/>
  <c r="F13" i="136"/>
  <c r="J13" i="136"/>
  <c r="N13" i="136"/>
  <c r="R13" i="136"/>
  <c r="V13" i="136"/>
  <c r="AA13" i="136"/>
  <c r="AC13" i="136"/>
  <c r="AE13" i="136"/>
  <c r="F14" i="136"/>
  <c r="J14" i="136"/>
  <c r="N14" i="136"/>
  <c r="R14" i="136"/>
  <c r="V14" i="136"/>
  <c r="AA14" i="136"/>
  <c r="AC14" i="136"/>
  <c r="AE14" i="136"/>
  <c r="F15" i="136"/>
  <c r="J15" i="136"/>
  <c r="N15" i="136"/>
  <c r="R15" i="136"/>
  <c r="V15" i="136"/>
  <c r="AA15" i="136"/>
  <c r="AC15" i="136"/>
  <c r="AE15" i="136"/>
  <c r="F16" i="136"/>
  <c r="J16" i="136"/>
  <c r="N16" i="136"/>
  <c r="R16" i="136"/>
  <c r="V16" i="136"/>
  <c r="AA16" i="136"/>
  <c r="AC16" i="136"/>
  <c r="AE16" i="136"/>
  <c r="F17" i="136"/>
  <c r="J17" i="136"/>
  <c r="N17" i="136"/>
  <c r="R17" i="136"/>
  <c r="V17" i="136"/>
  <c r="AA17" i="136"/>
  <c r="AC17" i="136"/>
  <c r="AE17" i="136"/>
  <c r="F18" i="136"/>
  <c r="J18" i="136"/>
  <c r="N18" i="136"/>
  <c r="R18" i="136"/>
  <c r="V18" i="136"/>
  <c r="AA18" i="136"/>
  <c r="AC18" i="136"/>
  <c r="AE18" i="136"/>
  <c r="F19" i="136"/>
  <c r="J19" i="136"/>
  <c r="N19" i="136"/>
  <c r="R19" i="136"/>
  <c r="V19" i="136"/>
  <c r="AA19" i="136"/>
  <c r="AC19" i="136"/>
  <c r="AE19" i="136"/>
  <c r="C310" i="143" l="1"/>
  <c r="AA18" i="131"/>
  <c r="AA17" i="131"/>
  <c r="AA16" i="131"/>
  <c r="AA15" i="131"/>
  <c r="AA14" i="131"/>
  <c r="AA13" i="131"/>
  <c r="AA12" i="131"/>
  <c r="AA11" i="131"/>
  <c r="AA10" i="131"/>
  <c r="AA9" i="131"/>
  <c r="AA8" i="131"/>
  <c r="AA19" i="137"/>
  <c r="AA9" i="137"/>
  <c r="AA10" i="137"/>
  <c r="AA11" i="137"/>
  <c r="AA12" i="137"/>
  <c r="AA13" i="137"/>
  <c r="AA14" i="137"/>
  <c r="AA15" i="137"/>
  <c r="AA16" i="137"/>
  <c r="AA17" i="137"/>
  <c r="AA18" i="137"/>
  <c r="AA8" i="137"/>
  <c r="C311" i="143" l="1"/>
  <c r="N8" i="137"/>
  <c r="R8" i="137"/>
  <c r="V8" i="137"/>
  <c r="F9" i="137"/>
  <c r="J9" i="137"/>
  <c r="N9" i="137"/>
  <c r="R9" i="137"/>
  <c r="V9" i="137"/>
  <c r="F11" i="137"/>
  <c r="J11" i="137"/>
  <c r="N11" i="137"/>
  <c r="R11" i="137"/>
  <c r="V11" i="137"/>
  <c r="F12" i="137"/>
  <c r="J12" i="137"/>
  <c r="N12" i="137"/>
  <c r="R12" i="137"/>
  <c r="V12" i="137"/>
  <c r="F13" i="137"/>
  <c r="J13" i="137"/>
  <c r="N13" i="137"/>
  <c r="R13" i="137"/>
  <c r="V13" i="137"/>
  <c r="F14" i="137"/>
  <c r="J14" i="137"/>
  <c r="N14" i="137"/>
  <c r="R14" i="137"/>
  <c r="V14" i="137"/>
  <c r="F15" i="137"/>
  <c r="J15" i="137"/>
  <c r="N15" i="137"/>
  <c r="R15" i="137"/>
  <c r="V15" i="137"/>
  <c r="F16" i="137"/>
  <c r="J16" i="137"/>
  <c r="N16" i="137"/>
  <c r="R16" i="137"/>
  <c r="V16" i="137"/>
  <c r="F17" i="137"/>
  <c r="J17" i="137"/>
  <c r="N17" i="137"/>
  <c r="R17" i="137"/>
  <c r="V17" i="137"/>
  <c r="F18" i="137"/>
  <c r="J18" i="137"/>
  <c r="N18" i="137"/>
  <c r="R18" i="137"/>
  <c r="V18" i="137"/>
  <c r="F19" i="137"/>
  <c r="J19" i="137"/>
  <c r="N19" i="137"/>
  <c r="R19" i="137"/>
  <c r="V19" i="137"/>
  <c r="C310" i="137"/>
  <c r="C311" i="137" s="1"/>
  <c r="C300" i="137"/>
  <c r="B308" i="137"/>
  <c r="B302" i="137"/>
  <c r="AC19" i="137"/>
  <c r="AE19" i="137"/>
  <c r="AI19" i="137"/>
  <c r="AK19" i="137"/>
  <c r="AM19" i="137"/>
  <c r="AN19" i="137" s="1"/>
  <c r="AO19" i="137"/>
  <c r="AP19" i="137" s="1"/>
  <c r="A4" i="137"/>
  <c r="A2" i="137"/>
  <c r="AO18" i="137"/>
  <c r="AP18" i="137" s="1"/>
  <c r="AM18" i="137"/>
  <c r="AN18" i="137" s="1"/>
  <c r="AK18" i="137"/>
  <c r="AI18" i="137"/>
  <c r="AE18" i="137"/>
  <c r="AC18" i="137"/>
  <c r="AF18" i="137" s="1"/>
  <c r="AO17" i="137"/>
  <c r="AP17" i="137" s="1"/>
  <c r="AM17" i="137"/>
  <c r="AN17" i="137" s="1"/>
  <c r="AK17" i="137"/>
  <c r="AI17" i="137"/>
  <c r="AE17" i="137"/>
  <c r="AC17" i="137"/>
  <c r="AO16" i="137"/>
  <c r="AM16" i="137"/>
  <c r="AK16" i="137"/>
  <c r="AL16" i="137" s="1"/>
  <c r="AI16" i="137"/>
  <c r="AE16" i="137"/>
  <c r="AC16" i="137"/>
  <c r="AO15" i="137"/>
  <c r="AM15" i="137"/>
  <c r="AK15" i="137"/>
  <c r="AL15" i="137" s="1"/>
  <c r="AI15" i="137"/>
  <c r="AE15" i="137"/>
  <c r="AC15" i="137"/>
  <c r="AO14" i="137"/>
  <c r="AP14" i="137" s="1"/>
  <c r="AM14" i="137"/>
  <c r="AN14" i="137" s="1"/>
  <c r="AK14" i="137"/>
  <c r="AI14" i="137"/>
  <c r="AE14" i="137"/>
  <c r="AC14" i="137"/>
  <c r="AO13" i="137"/>
  <c r="AP13" i="137" s="1"/>
  <c r="AM13" i="137"/>
  <c r="AN13" i="137" s="1"/>
  <c r="AK13" i="137"/>
  <c r="AI13" i="137"/>
  <c r="AE13" i="137"/>
  <c r="AC13" i="137"/>
  <c r="AO12" i="137"/>
  <c r="AP12" i="137" s="1"/>
  <c r="AM12" i="137"/>
  <c r="AN12" i="137" s="1"/>
  <c r="AK12" i="137"/>
  <c r="AI12" i="137"/>
  <c r="AE12" i="137"/>
  <c r="AC12" i="137"/>
  <c r="AO11" i="137"/>
  <c r="AP11" i="137" s="1"/>
  <c r="AM11" i="137"/>
  <c r="AN11" i="137" s="1"/>
  <c r="AK11" i="137"/>
  <c r="AI11" i="137"/>
  <c r="AE11" i="137"/>
  <c r="AC11" i="137"/>
  <c r="AO10" i="137"/>
  <c r="AP10" i="137" s="1"/>
  <c r="AM10" i="137"/>
  <c r="AN10" i="137" s="1"/>
  <c r="AK10" i="137"/>
  <c r="AI10" i="137"/>
  <c r="AE10" i="137"/>
  <c r="AC10" i="137"/>
  <c r="AF10" i="137" s="1"/>
  <c r="AO9" i="137"/>
  <c r="AP9" i="137" s="1"/>
  <c r="AM9" i="137"/>
  <c r="AN9" i="137" s="1"/>
  <c r="AK9" i="137"/>
  <c r="AI9" i="137"/>
  <c r="AE9" i="137"/>
  <c r="AC9" i="137"/>
  <c r="AO8" i="137"/>
  <c r="AP8" i="137" s="1"/>
  <c r="AM8" i="137"/>
  <c r="AN8" i="137" s="1"/>
  <c r="AK8" i="137"/>
  <c r="AI8" i="137"/>
  <c r="AE8" i="137"/>
  <c r="AC8" i="137"/>
  <c r="F1" i="137"/>
  <c r="B309" i="136"/>
  <c r="B305" i="136"/>
  <c r="C312" i="143" l="1"/>
  <c r="AF19" i="137"/>
  <c r="AF14" i="137"/>
  <c r="AF12" i="137"/>
  <c r="AF8" i="137"/>
  <c r="AF17" i="137"/>
  <c r="AF9" i="137"/>
  <c r="AF11" i="137"/>
  <c r="AF13" i="137"/>
  <c r="AF15" i="137"/>
  <c r="AF16" i="137"/>
  <c r="AF19" i="136"/>
  <c r="AI19" i="136"/>
  <c r="AK19" i="136"/>
  <c r="AM19" i="136"/>
  <c r="AN19" i="136" s="1"/>
  <c r="AO19" i="136"/>
  <c r="AP19" i="136" s="1"/>
  <c r="AI20" i="136"/>
  <c r="AK20" i="136"/>
  <c r="AL20" i="136"/>
  <c r="AM20" i="136"/>
  <c r="AO20" i="136"/>
  <c r="AI21" i="136"/>
  <c r="AK21" i="136"/>
  <c r="AM21" i="136"/>
  <c r="AN21" i="136" s="1"/>
  <c r="AO21" i="136"/>
  <c r="AP21" i="136" s="1"/>
  <c r="A4" i="136"/>
  <c r="A2" i="136"/>
  <c r="C300" i="136"/>
  <c r="C301" i="136" s="1"/>
  <c r="C302" i="136" s="1"/>
  <c r="C303" i="136" s="1"/>
  <c r="C307" i="136" s="1"/>
  <c r="C311" i="136" s="1"/>
  <c r="C312" i="136" s="1"/>
  <c r="C313" i="136" s="1"/>
  <c r="AO18" i="136"/>
  <c r="AM18" i="136"/>
  <c r="AK18" i="136"/>
  <c r="AI18" i="136"/>
  <c r="AO17" i="136"/>
  <c r="AP17" i="136" s="1"/>
  <c r="AM17" i="136"/>
  <c r="AN17" i="136" s="1"/>
  <c r="AK17" i="136"/>
  <c r="AI17" i="136"/>
  <c r="AO16" i="136"/>
  <c r="AP16" i="136" s="1"/>
  <c r="AM16" i="136"/>
  <c r="AN16" i="136" s="1"/>
  <c r="AK16" i="136"/>
  <c r="AI16" i="136"/>
  <c r="AO15" i="136"/>
  <c r="AP15" i="136" s="1"/>
  <c r="AM15" i="136"/>
  <c r="AN15" i="136" s="1"/>
  <c r="AK15" i="136"/>
  <c r="AI15" i="136"/>
  <c r="AO14" i="136"/>
  <c r="AP14" i="136" s="1"/>
  <c r="AM14" i="136"/>
  <c r="AN14" i="136" s="1"/>
  <c r="AK14" i="136"/>
  <c r="AI14" i="136"/>
  <c r="AO13" i="136"/>
  <c r="AP13" i="136" s="1"/>
  <c r="AM13" i="136"/>
  <c r="AN13" i="136" s="1"/>
  <c r="AK13" i="136"/>
  <c r="AI13" i="136"/>
  <c r="AO12" i="136"/>
  <c r="AP12" i="136" s="1"/>
  <c r="AM12" i="136"/>
  <c r="AN12" i="136" s="1"/>
  <c r="AK12" i="136"/>
  <c r="AI12" i="136"/>
  <c r="AO11" i="136"/>
  <c r="AP11" i="136" s="1"/>
  <c r="AM11" i="136"/>
  <c r="AN11" i="136" s="1"/>
  <c r="AK11" i="136"/>
  <c r="AI11" i="136"/>
  <c r="AO10" i="136"/>
  <c r="AP10" i="136" s="1"/>
  <c r="AM10" i="136"/>
  <c r="AN10" i="136" s="1"/>
  <c r="AK10" i="136"/>
  <c r="AI10" i="136"/>
  <c r="AO9" i="136"/>
  <c r="AP9" i="136" s="1"/>
  <c r="AM9" i="136"/>
  <c r="AN9" i="136" s="1"/>
  <c r="AK9" i="136"/>
  <c r="AI9" i="136"/>
  <c r="AO8" i="136"/>
  <c r="AP8" i="136" s="1"/>
  <c r="AM8" i="136"/>
  <c r="AN8" i="136" s="1"/>
  <c r="AK8" i="136"/>
  <c r="AI8" i="136"/>
  <c r="F1" i="136"/>
  <c r="C313" i="143" l="1"/>
  <c r="AF18" i="136"/>
  <c r="AF16" i="136"/>
  <c r="AF15" i="136"/>
  <c r="AF13" i="136"/>
  <c r="AF11" i="136"/>
  <c r="AF9" i="136"/>
  <c r="AF17" i="136"/>
  <c r="AF8" i="136"/>
  <c r="AF10" i="136"/>
  <c r="AF12" i="136"/>
  <c r="AF14" i="136"/>
  <c r="AF21" i="136"/>
  <c r="AF20" i="136"/>
  <c r="C314" i="143" l="1"/>
  <c r="AM9" i="131"/>
  <c r="AN9" i="131" s="1"/>
  <c r="AO9" i="131"/>
  <c r="AP9" i="131" s="1"/>
  <c r="AM10" i="131"/>
  <c r="AN10" i="131" s="1"/>
  <c r="AO10" i="131"/>
  <c r="AP10" i="131" s="1"/>
  <c r="AM11" i="131"/>
  <c r="AN11" i="131" s="1"/>
  <c r="AO11" i="131"/>
  <c r="AP11" i="131" s="1"/>
  <c r="AM12" i="131"/>
  <c r="AN12" i="131" s="1"/>
  <c r="AO12" i="131"/>
  <c r="AP12" i="131" s="1"/>
  <c r="AM13" i="131"/>
  <c r="AN13" i="131" s="1"/>
  <c r="AO13" i="131"/>
  <c r="AP13" i="131" s="1"/>
  <c r="AM14" i="131"/>
  <c r="AN14" i="131" s="1"/>
  <c r="AO14" i="131"/>
  <c r="AP14" i="131" s="1"/>
  <c r="AM15" i="131"/>
  <c r="AN15" i="131" s="1"/>
  <c r="AO15" i="131"/>
  <c r="AP15" i="131" s="1"/>
  <c r="AM16" i="131"/>
  <c r="AN16" i="131" s="1"/>
  <c r="AO16" i="131"/>
  <c r="AP16" i="131" s="1"/>
  <c r="AM17" i="131"/>
  <c r="AN17" i="131" s="1"/>
  <c r="AO17" i="131"/>
  <c r="AP17" i="131" s="1"/>
  <c r="AM18" i="131"/>
  <c r="AN18" i="131" s="1"/>
  <c r="AO18" i="131"/>
  <c r="AP18" i="131" s="1"/>
  <c r="AK18" i="131"/>
  <c r="AI18" i="131"/>
  <c r="AE18" i="131"/>
  <c r="AC18" i="131"/>
  <c r="AK17" i="131"/>
  <c r="AI17" i="131"/>
  <c r="AE17" i="131"/>
  <c r="AC17" i="131"/>
  <c r="AK16" i="131"/>
  <c r="AI16" i="131"/>
  <c r="AE16" i="131"/>
  <c r="AC16" i="131"/>
  <c r="AK15" i="131"/>
  <c r="AI15" i="131"/>
  <c r="AE15" i="131"/>
  <c r="AC15" i="131"/>
  <c r="AF15" i="131" s="1"/>
  <c r="AK14" i="131"/>
  <c r="AI14" i="131"/>
  <c r="AE14" i="131"/>
  <c r="AC14" i="131"/>
  <c r="AK13" i="131"/>
  <c r="AI13" i="131"/>
  <c r="AE13" i="131"/>
  <c r="AC13" i="131"/>
  <c r="AF13" i="131" s="1"/>
  <c r="AK12" i="131"/>
  <c r="AI12" i="131"/>
  <c r="AE12" i="131"/>
  <c r="AC12" i="131"/>
  <c r="AK11" i="131"/>
  <c r="AI11" i="131"/>
  <c r="AE11" i="131"/>
  <c r="AC11" i="131"/>
  <c r="AF11" i="131" s="1"/>
  <c r="AK10" i="131"/>
  <c r="AI10" i="131"/>
  <c r="AE10" i="131"/>
  <c r="AC10" i="131"/>
  <c r="AF10" i="131" s="1"/>
  <c r="AK9" i="131"/>
  <c r="AI9" i="131"/>
  <c r="AE9" i="131"/>
  <c r="AC9" i="131"/>
  <c r="AO8" i="131"/>
  <c r="AP8" i="131" s="1"/>
  <c r="AM8" i="131"/>
  <c r="AN8" i="131" s="1"/>
  <c r="AK8" i="131"/>
  <c r="AI8" i="131"/>
  <c r="AE8" i="131"/>
  <c r="AC8" i="131"/>
  <c r="C302" i="131"/>
  <c r="C303" i="131" s="1"/>
  <c r="C304" i="131" s="1"/>
  <c r="C305" i="131" s="1"/>
  <c r="C306" i="131" s="1"/>
  <c r="C307" i="131" s="1"/>
  <c r="C308" i="131" s="1"/>
  <c r="C309" i="131" s="1"/>
  <c r="C310" i="131" s="1"/>
  <c r="C300" i="131"/>
  <c r="C301" i="131" s="1"/>
  <c r="AF17" i="131" l="1"/>
  <c r="AF18" i="131"/>
  <c r="AF12" i="131"/>
  <c r="AF14" i="131"/>
  <c r="AF9" i="131"/>
  <c r="AF16" i="131"/>
  <c r="AF8" i="131"/>
  <c r="Y25" i="134" l="1"/>
  <c r="AA25" i="134"/>
  <c r="AB25" i="134"/>
  <c r="A4" i="134"/>
  <c r="A2" i="134"/>
  <c r="AB26" i="134"/>
  <c r="AA26" i="134"/>
  <c r="Y26" i="134"/>
  <c r="AB24" i="134"/>
  <c r="AA24" i="134"/>
  <c r="Y24" i="134"/>
  <c r="AB23" i="134"/>
  <c r="AA23" i="134"/>
  <c r="Y23" i="134"/>
  <c r="AB22" i="134"/>
  <c r="AA22" i="134"/>
  <c r="Y22" i="134"/>
  <c r="AB21" i="134"/>
  <c r="AA21" i="134"/>
  <c r="Y21" i="134"/>
  <c r="AB20" i="134"/>
  <c r="AA20" i="134"/>
  <c r="Y20" i="134"/>
  <c r="AB19" i="134"/>
  <c r="AA19" i="134"/>
  <c r="Y19" i="134"/>
  <c r="AB18" i="134"/>
  <c r="AA18" i="134"/>
  <c r="Y18" i="134"/>
  <c r="AB17" i="134"/>
  <c r="AA17" i="134"/>
  <c r="Y17" i="134"/>
  <c r="AB16" i="134"/>
  <c r="AA16" i="134"/>
  <c r="Y16" i="134"/>
  <c r="AB15" i="134"/>
  <c r="AA15" i="134"/>
  <c r="Y15" i="134"/>
  <c r="AB14" i="134"/>
  <c r="AA14" i="134"/>
  <c r="Y14" i="134"/>
  <c r="AB13" i="134"/>
  <c r="AA13" i="134"/>
  <c r="Y13" i="134"/>
  <c r="AB12" i="134"/>
  <c r="AA12" i="134"/>
  <c r="Y12" i="134"/>
  <c r="AB11" i="134"/>
  <c r="AA11" i="134"/>
  <c r="Y11" i="134"/>
  <c r="AB10" i="134"/>
  <c r="AA10" i="134"/>
  <c r="Y10" i="134"/>
  <c r="AB9" i="134"/>
  <c r="AA9" i="134"/>
  <c r="Y9" i="134"/>
  <c r="AB8" i="134"/>
  <c r="AA8" i="134"/>
  <c r="Y8" i="134"/>
  <c r="AB7" i="134"/>
  <c r="AA7" i="134"/>
  <c r="Y7" i="134"/>
  <c r="M1" i="134"/>
  <c r="Z7" i="134" l="1"/>
  <c r="Z24" i="134"/>
  <c r="Z22" i="134"/>
  <c r="Z18" i="134"/>
  <c r="Z14" i="134"/>
  <c r="Z12" i="134"/>
  <c r="Z10" i="134"/>
  <c r="Z25" i="134"/>
  <c r="Z23" i="134"/>
  <c r="Z21" i="134"/>
  <c r="Z19" i="134"/>
  <c r="Z17" i="134"/>
  <c r="Z15" i="134"/>
  <c r="Z13" i="134"/>
  <c r="Z11" i="134"/>
  <c r="Z9" i="134"/>
  <c r="Z8" i="134"/>
  <c r="Z26" i="134"/>
  <c r="M112" i="1"/>
  <c r="M101" i="1"/>
  <c r="N111" i="1" l="1"/>
  <c r="N110" i="1"/>
  <c r="D8" i="88"/>
  <c r="D9" i="88"/>
  <c r="D10" i="88"/>
  <c r="D11" i="88"/>
  <c r="D13" i="88"/>
  <c r="D14" i="88"/>
  <c r="D15" i="88"/>
  <c r="D16" i="88"/>
  <c r="D17" i="88"/>
  <c r="D18" i="88"/>
  <c r="D19" i="88"/>
  <c r="D20" i="88"/>
  <c r="D21" i="88"/>
  <c r="D22" i="88"/>
  <c r="D23" i="88"/>
  <c r="D24" i="88"/>
  <c r="D25" i="88"/>
  <c r="D26" i="88"/>
  <c r="D27" i="88"/>
  <c r="D28" i="88"/>
  <c r="D29" i="88"/>
  <c r="D30" i="88"/>
  <c r="D31" i="88"/>
  <c r="D33" i="88"/>
  <c r="D34" i="88"/>
  <c r="D35" i="88"/>
  <c r="D37" i="88"/>
  <c r="D38" i="88"/>
  <c r="D39" i="88"/>
  <c r="D41" i="88"/>
  <c r="D43" i="88"/>
  <c r="D44" i="88"/>
  <c r="D47" i="88"/>
  <c r="D48" i="88"/>
  <c r="D49" i="88"/>
  <c r="D50" i="88"/>
  <c r="D51" i="88"/>
  <c r="D52" i="88"/>
  <c r="D53" i="88"/>
  <c r="D55" i="88"/>
  <c r="D56" i="88"/>
  <c r="D57" i="88"/>
  <c r="D60" i="88"/>
  <c r="D62" i="88"/>
  <c r="D63" i="88"/>
  <c r="D64" i="88"/>
  <c r="D65" i="88"/>
  <c r="D66" i="88"/>
  <c r="D7" i="88"/>
  <c r="A7" i="88"/>
  <c r="E8" i="88"/>
  <c r="E9" i="88"/>
  <c r="E10" i="88"/>
  <c r="E11" i="88"/>
  <c r="E13" i="88"/>
  <c r="E14" i="88"/>
  <c r="E15" i="88"/>
  <c r="E16" i="88"/>
  <c r="E17" i="88"/>
  <c r="E18" i="88"/>
  <c r="E19" i="88"/>
  <c r="E20" i="88"/>
  <c r="E21" i="88"/>
  <c r="E22" i="88"/>
  <c r="E23" i="88"/>
  <c r="E24" i="88"/>
  <c r="E25" i="88"/>
  <c r="E26" i="88"/>
  <c r="E27" i="88"/>
  <c r="E28" i="88"/>
  <c r="E29" i="88"/>
  <c r="E30" i="88"/>
  <c r="E31" i="88"/>
  <c r="E33" i="88"/>
  <c r="E34" i="88"/>
  <c r="E35" i="88"/>
  <c r="E37" i="88"/>
  <c r="E38" i="88"/>
  <c r="E39" i="88"/>
  <c r="E41" i="88"/>
  <c r="E43" i="88"/>
  <c r="E44" i="88"/>
  <c r="E47" i="88"/>
  <c r="E48" i="88"/>
  <c r="E49" i="88"/>
  <c r="E50" i="88"/>
  <c r="E51" i="88"/>
  <c r="E52" i="88"/>
  <c r="E53" i="88"/>
  <c r="E55" i="88"/>
  <c r="E56" i="88"/>
  <c r="E57" i="88"/>
  <c r="E60" i="88"/>
  <c r="E62" i="88"/>
  <c r="E63" i="88"/>
  <c r="E64" i="88"/>
  <c r="E65" i="88"/>
  <c r="E66" i="88"/>
  <c r="E7" i="88"/>
  <c r="F8" i="88"/>
  <c r="F9" i="88"/>
  <c r="F10" i="88"/>
  <c r="F11" i="88"/>
  <c r="F12" i="88"/>
  <c r="F13" i="88"/>
  <c r="F14" i="88"/>
  <c r="F15" i="88"/>
  <c r="F16" i="88"/>
  <c r="F17" i="88"/>
  <c r="F18" i="88"/>
  <c r="F19" i="88"/>
  <c r="F21" i="88"/>
  <c r="F22" i="88"/>
  <c r="F24" i="88"/>
  <c r="F25" i="88"/>
  <c r="F26" i="88"/>
  <c r="F27" i="88"/>
  <c r="F28" i="88"/>
  <c r="F29" i="88"/>
  <c r="F30" i="88"/>
  <c r="F31" i="88"/>
  <c r="F32" i="88"/>
  <c r="F33" i="88"/>
  <c r="F34" i="88"/>
  <c r="F35" i="88"/>
  <c r="F36" i="88"/>
  <c r="F37" i="88"/>
  <c r="F38" i="88"/>
  <c r="F39" i="88"/>
  <c r="F40" i="88"/>
  <c r="F41" i="88"/>
  <c r="F43" i="88"/>
  <c r="F44" i="88"/>
  <c r="F45" i="88"/>
  <c r="F46" i="88"/>
  <c r="F47" i="88"/>
  <c r="F48" i="88"/>
  <c r="F49" i="88"/>
  <c r="F50" i="88"/>
  <c r="F52" i="88"/>
  <c r="F54" i="88"/>
  <c r="F55" i="88"/>
  <c r="F56" i="88"/>
  <c r="F57" i="88"/>
  <c r="F58" i="88"/>
  <c r="F59" i="88"/>
  <c r="F60" i="88"/>
  <c r="F61" i="88"/>
  <c r="F62" i="88"/>
  <c r="F63" i="88"/>
  <c r="F64" i="88"/>
  <c r="F65" i="88"/>
  <c r="F66" i="88"/>
  <c r="F7" i="88"/>
  <c r="G8" i="88"/>
  <c r="G9" i="88"/>
  <c r="G10" i="88"/>
  <c r="G11" i="88"/>
  <c r="G12" i="88"/>
  <c r="G13" i="88"/>
  <c r="G14" i="88"/>
  <c r="G15" i="88"/>
  <c r="G16" i="88"/>
  <c r="G17" i="88"/>
  <c r="G18" i="88"/>
  <c r="G19" i="88"/>
  <c r="G21" i="88"/>
  <c r="G22" i="88"/>
  <c r="G24" i="88"/>
  <c r="G25" i="88"/>
  <c r="G26" i="88"/>
  <c r="G27" i="88"/>
  <c r="G28" i="88"/>
  <c r="G29" i="88"/>
  <c r="G30" i="88"/>
  <c r="G31" i="88"/>
  <c r="G32" i="88"/>
  <c r="G33" i="88"/>
  <c r="G34" i="88"/>
  <c r="G35" i="88"/>
  <c r="G36" i="88"/>
  <c r="G37" i="88"/>
  <c r="G38" i="88"/>
  <c r="G39" i="88"/>
  <c r="G40" i="88"/>
  <c r="G41" i="88"/>
  <c r="G43" i="88"/>
  <c r="G44" i="88"/>
  <c r="G45" i="88"/>
  <c r="G46" i="88"/>
  <c r="G47" i="88"/>
  <c r="G48" i="88"/>
  <c r="G49" i="88"/>
  <c r="G50" i="88"/>
  <c r="G52" i="88"/>
  <c r="G54" i="88"/>
  <c r="G55" i="88"/>
  <c r="G56" i="88"/>
  <c r="G57" i="88"/>
  <c r="G58" i="88"/>
  <c r="G59" i="88"/>
  <c r="G60" i="88"/>
  <c r="G61" i="88"/>
  <c r="G62" i="88"/>
  <c r="G63" i="88"/>
  <c r="G64" i="88"/>
  <c r="G65" i="88"/>
  <c r="G66" i="88"/>
  <c r="G7" i="88"/>
  <c r="K104" i="1" l="1"/>
  <c r="A4" i="130" l="1"/>
  <c r="A2" i="130"/>
  <c r="M140" i="133"/>
  <c r="I145" i="133" s="1"/>
  <c r="B112" i="133"/>
  <c r="H145" i="133"/>
  <c r="J145" i="133" s="1"/>
  <c r="H144" i="133"/>
  <c r="J144" i="133" s="1"/>
  <c r="H143" i="133"/>
  <c r="J143" i="133" s="1"/>
  <c r="H142" i="133"/>
  <c r="J142" i="133" s="1"/>
  <c r="H141" i="133"/>
  <c r="J141" i="133" s="1"/>
  <c r="B102" i="133"/>
  <c r="E10" i="133"/>
  <c r="C10" i="133"/>
  <c r="G10" i="133" s="1"/>
  <c r="G9" i="133"/>
  <c r="G8" i="133"/>
  <c r="G7" i="133"/>
  <c r="E28" i="133"/>
  <c r="C28" i="133"/>
  <c r="E27" i="133"/>
  <c r="E26" i="133"/>
  <c r="G26" i="133" s="1"/>
  <c r="C25" i="133"/>
  <c r="G25" i="133" s="1"/>
  <c r="G22" i="133"/>
  <c r="G21" i="133"/>
  <c r="G20" i="133"/>
  <c r="G19" i="133"/>
  <c r="E16" i="133"/>
  <c r="G14" i="133" s="1"/>
  <c r="C16" i="133"/>
  <c r="G15" i="133"/>
  <c r="A4" i="133"/>
  <c r="A2" i="133"/>
  <c r="G1" i="133"/>
  <c r="C111" i="133" l="1"/>
  <c r="L142" i="133"/>
  <c r="K142" i="133"/>
  <c r="M142" i="133" s="1"/>
  <c r="L144" i="133"/>
  <c r="K144" i="133"/>
  <c r="M144" i="133" s="1"/>
  <c r="L141" i="133"/>
  <c r="K141" i="133"/>
  <c r="L143" i="133"/>
  <c r="K143" i="133"/>
  <c r="L145" i="133"/>
  <c r="K145" i="133"/>
  <c r="M145" i="133" s="1"/>
  <c r="C103" i="133"/>
  <c r="E105" i="133" s="1"/>
  <c r="H109" i="133" s="1"/>
  <c r="I144" i="133"/>
  <c r="G13" i="133"/>
  <c r="G28" i="133"/>
  <c r="G27" i="133"/>
  <c r="G16" i="133"/>
  <c r="M95" i="1"/>
  <c r="E47" i="87"/>
  <c r="A1" i="132" s="1"/>
  <c r="M99" i="1"/>
  <c r="I47" i="87"/>
  <c r="H40" i="132"/>
  <c r="H41" i="132"/>
  <c r="H42" i="132"/>
  <c r="H43" i="132"/>
  <c r="H44" i="132"/>
  <c r="H45" i="132"/>
  <c r="H46" i="132"/>
  <c r="H47" i="132"/>
  <c r="H48" i="132"/>
  <c r="H49" i="132"/>
  <c r="F9" i="132"/>
  <c r="E9" i="132" s="1"/>
  <c r="F10" i="132"/>
  <c r="E10" i="132" s="1"/>
  <c r="F11" i="132"/>
  <c r="E11" i="132" s="1"/>
  <c r="F12" i="132"/>
  <c r="E12" i="132" s="1"/>
  <c r="F13" i="132"/>
  <c r="E13" i="132" s="1"/>
  <c r="F14" i="132"/>
  <c r="E14" i="132" s="1"/>
  <c r="F15" i="132"/>
  <c r="E15" i="132" s="1"/>
  <c r="F16" i="132"/>
  <c r="E16" i="132" s="1"/>
  <c r="F17" i="132"/>
  <c r="E17" i="132" s="1"/>
  <c r="F18" i="132"/>
  <c r="E18" i="132" s="1"/>
  <c r="F19" i="132"/>
  <c r="E19" i="132" s="1"/>
  <c r="F20" i="132"/>
  <c r="E20" i="132" s="1"/>
  <c r="F21" i="132"/>
  <c r="E21" i="132" s="1"/>
  <c r="F22" i="132"/>
  <c r="E22" i="132" s="1"/>
  <c r="F23" i="132"/>
  <c r="E23" i="132" s="1"/>
  <c r="F24" i="132"/>
  <c r="E24" i="132" s="1"/>
  <c r="F25" i="132"/>
  <c r="E25" i="132" s="1"/>
  <c r="F26" i="132"/>
  <c r="E26" i="132" s="1"/>
  <c r="F27" i="132"/>
  <c r="E27" i="132" s="1"/>
  <c r="F28" i="132"/>
  <c r="E28" i="132" s="1"/>
  <c r="F29" i="132"/>
  <c r="E29" i="132" s="1"/>
  <c r="F30" i="132"/>
  <c r="E30" i="132" s="1"/>
  <c r="F31" i="132"/>
  <c r="E31" i="132" s="1"/>
  <c r="F32" i="132"/>
  <c r="E32" i="132" s="1"/>
  <c r="F33" i="132"/>
  <c r="E33" i="132" s="1"/>
  <c r="F34" i="132"/>
  <c r="E34" i="132" s="1"/>
  <c r="F36" i="132"/>
  <c r="E36" i="132" s="1"/>
  <c r="F37" i="132"/>
  <c r="E37" i="132" s="1"/>
  <c r="F38" i="132"/>
  <c r="E38" i="132" s="1"/>
  <c r="F39" i="132"/>
  <c r="E39" i="132" s="1"/>
  <c r="F40" i="132"/>
  <c r="E40" i="132" s="1"/>
  <c r="F41" i="132"/>
  <c r="E41" i="132" s="1"/>
  <c r="F42" i="132"/>
  <c r="E42" i="132" s="1"/>
  <c r="F43" i="132"/>
  <c r="E43" i="132" s="1"/>
  <c r="F44" i="132"/>
  <c r="E44" i="132" s="1"/>
  <c r="F46" i="132"/>
  <c r="E46" i="132" s="1"/>
  <c r="F49" i="132"/>
  <c r="E49" i="132" s="1"/>
  <c r="F50" i="132"/>
  <c r="E50" i="132" s="1"/>
  <c r="F51" i="132"/>
  <c r="E51" i="132" s="1"/>
  <c r="F53" i="132"/>
  <c r="E53" i="132" s="1"/>
  <c r="F55" i="132"/>
  <c r="E55" i="132" s="1"/>
  <c r="F56" i="132"/>
  <c r="E56" i="132" s="1"/>
  <c r="F57" i="132"/>
  <c r="E57" i="132" s="1"/>
  <c r="F59" i="132"/>
  <c r="E59" i="132" s="1"/>
  <c r="F60" i="132"/>
  <c r="E60" i="132" s="1"/>
  <c r="F61" i="132"/>
  <c r="E61" i="132" s="1"/>
  <c r="F62" i="132"/>
  <c r="E62" i="132" s="1"/>
  <c r="F63" i="132"/>
  <c r="E63" i="132" s="1"/>
  <c r="H9" i="132"/>
  <c r="G9" i="132" s="1"/>
  <c r="H10" i="132"/>
  <c r="G10" i="132" s="1"/>
  <c r="H11" i="132"/>
  <c r="G11" i="132" s="1"/>
  <c r="H12" i="132"/>
  <c r="G12" i="132" s="1"/>
  <c r="H13" i="132"/>
  <c r="G13" i="132" s="1"/>
  <c r="H14" i="132"/>
  <c r="G14" i="132" s="1"/>
  <c r="H15" i="132"/>
  <c r="G15" i="132" s="1"/>
  <c r="H17" i="132"/>
  <c r="G17" i="132" s="1"/>
  <c r="H18" i="132"/>
  <c r="G18" i="132" s="1"/>
  <c r="H19" i="132"/>
  <c r="G19" i="132" s="1"/>
  <c r="H20" i="132"/>
  <c r="G20" i="132" s="1"/>
  <c r="H21" i="132"/>
  <c r="G21" i="132" s="1"/>
  <c r="H22" i="132"/>
  <c r="G22" i="132" s="1"/>
  <c r="H25" i="132"/>
  <c r="G25" i="132" s="1"/>
  <c r="H26" i="132"/>
  <c r="G26" i="132" s="1"/>
  <c r="H27" i="132"/>
  <c r="G27" i="132" s="1"/>
  <c r="H28" i="132"/>
  <c r="G28" i="132" s="1"/>
  <c r="H29" i="132"/>
  <c r="G29" i="132" s="1"/>
  <c r="H30" i="132"/>
  <c r="G30" i="132" s="1"/>
  <c r="H32" i="132"/>
  <c r="G32" i="132" s="1"/>
  <c r="H33" i="132"/>
  <c r="G33" i="132" s="1"/>
  <c r="H34" i="132"/>
  <c r="G34" i="132" s="1"/>
  <c r="H35" i="132"/>
  <c r="G35" i="132" s="1"/>
  <c r="H36" i="132"/>
  <c r="G36" i="132" s="1"/>
  <c r="H37" i="132"/>
  <c r="G37" i="132" s="1"/>
  <c r="H38" i="132"/>
  <c r="G38" i="132" s="1"/>
  <c r="G40" i="132"/>
  <c r="G41" i="132"/>
  <c r="G42" i="132"/>
  <c r="G43" i="132"/>
  <c r="G44" i="132"/>
  <c r="G45" i="132"/>
  <c r="G46" i="132"/>
  <c r="G47" i="132"/>
  <c r="G48" i="132"/>
  <c r="G49" i="132"/>
  <c r="H50" i="132"/>
  <c r="G50" i="132" s="1"/>
  <c r="H51" i="132"/>
  <c r="G51" i="132" s="1"/>
  <c r="H52" i="132"/>
  <c r="G52" i="132" s="1"/>
  <c r="H53" i="132"/>
  <c r="G53" i="132" s="1"/>
  <c r="H54" i="132"/>
  <c r="G54" i="132" s="1"/>
  <c r="H55" i="132"/>
  <c r="G55" i="132" s="1"/>
  <c r="H57" i="132"/>
  <c r="G57" i="132" s="1"/>
  <c r="H58" i="132"/>
  <c r="G58" i="132" s="1"/>
  <c r="H59" i="132"/>
  <c r="G59" i="132" s="1"/>
  <c r="H62" i="132"/>
  <c r="G62" i="132" s="1"/>
  <c r="H63" i="132"/>
  <c r="G63" i="132" s="1"/>
  <c r="H8" i="132"/>
  <c r="G8" i="132" s="1"/>
  <c r="B10" i="132"/>
  <c r="A10" i="132" s="1"/>
  <c r="B16" i="132"/>
  <c r="A16" i="132" s="1"/>
  <c r="B18" i="132"/>
  <c r="A18" i="132" s="1"/>
  <c r="B24" i="132"/>
  <c r="A24" i="132" s="1"/>
  <c r="B25" i="132"/>
  <c r="A25" i="132" s="1"/>
  <c r="B26" i="132"/>
  <c r="A26" i="132" s="1"/>
  <c r="B31" i="132"/>
  <c r="A31" i="132" s="1"/>
  <c r="B35" i="132"/>
  <c r="A35" i="132" s="1"/>
  <c r="B36" i="132"/>
  <c r="A36" i="132" s="1"/>
  <c r="B37" i="132"/>
  <c r="A37" i="132" s="1"/>
  <c r="B39" i="132"/>
  <c r="A39" i="132" s="1"/>
  <c r="B42" i="132"/>
  <c r="A42" i="132" s="1"/>
  <c r="B49" i="132"/>
  <c r="A49" i="132" s="1"/>
  <c r="B54" i="132"/>
  <c r="A54" i="132" s="1"/>
  <c r="B55" i="132"/>
  <c r="A55" i="132" s="1"/>
  <c r="B57" i="132"/>
  <c r="A57" i="132" s="1"/>
  <c r="B59" i="132"/>
  <c r="A59" i="132" s="1"/>
  <c r="B60" i="132"/>
  <c r="A60" i="132" s="1"/>
  <c r="B62" i="132"/>
  <c r="A62" i="132" s="1"/>
  <c r="D9" i="132"/>
  <c r="C9" i="132" s="1"/>
  <c r="D11" i="132"/>
  <c r="C11" i="132" s="1"/>
  <c r="D12" i="132"/>
  <c r="C12" i="132" s="1"/>
  <c r="D13" i="132"/>
  <c r="C13" i="132" s="1"/>
  <c r="D14" i="132"/>
  <c r="C14" i="132" s="1"/>
  <c r="D15" i="132"/>
  <c r="C15" i="132" s="1"/>
  <c r="D17" i="132"/>
  <c r="C17" i="132" s="1"/>
  <c r="D19" i="132"/>
  <c r="C19" i="132" s="1"/>
  <c r="D20" i="132"/>
  <c r="C20" i="132" s="1"/>
  <c r="D21" i="132"/>
  <c r="C21" i="132" s="1"/>
  <c r="D22" i="132"/>
  <c r="C22" i="132" s="1"/>
  <c r="D23" i="132"/>
  <c r="C23" i="132" s="1"/>
  <c r="D27" i="132"/>
  <c r="C27" i="132" s="1"/>
  <c r="D28" i="132"/>
  <c r="C28" i="132" s="1"/>
  <c r="D29" i="132"/>
  <c r="C29" i="132" s="1"/>
  <c r="D30" i="132"/>
  <c r="C30" i="132" s="1"/>
  <c r="D32" i="132"/>
  <c r="C32" i="132" s="1"/>
  <c r="D33" i="132"/>
  <c r="C33" i="132" s="1"/>
  <c r="D34" i="132"/>
  <c r="C34" i="132" s="1"/>
  <c r="D38" i="132"/>
  <c r="C38" i="132" s="1"/>
  <c r="D40" i="132"/>
  <c r="C40" i="132" s="1"/>
  <c r="D41" i="132"/>
  <c r="C41" i="132" s="1"/>
  <c r="D43" i="132"/>
  <c r="C43" i="132" s="1"/>
  <c r="D44" i="132"/>
  <c r="C44" i="132" s="1"/>
  <c r="D45" i="132"/>
  <c r="C45" i="132" s="1"/>
  <c r="D46" i="132"/>
  <c r="C46" i="132" s="1"/>
  <c r="D47" i="132"/>
  <c r="C47" i="132" s="1"/>
  <c r="D48" i="132"/>
  <c r="C48" i="132" s="1"/>
  <c r="D50" i="132"/>
  <c r="C50" i="132" s="1"/>
  <c r="D51" i="132"/>
  <c r="C51" i="132" s="1"/>
  <c r="D52" i="132"/>
  <c r="C52" i="132" s="1"/>
  <c r="D53" i="132"/>
  <c r="C53" i="132" s="1"/>
  <c r="D56" i="132"/>
  <c r="C56" i="132" s="1"/>
  <c r="D58" i="132"/>
  <c r="C58" i="132" s="1"/>
  <c r="D61" i="132"/>
  <c r="C61" i="132" s="1"/>
  <c r="D63" i="132"/>
  <c r="C63" i="132" s="1"/>
  <c r="D8" i="132"/>
  <c r="C8" i="132" s="1"/>
  <c r="B104" i="133" l="1"/>
  <c r="C123" i="133" s="1"/>
  <c r="E131" i="133" s="1"/>
  <c r="B114" i="133"/>
  <c r="C115" i="133" s="1"/>
  <c r="E113" i="133" s="1"/>
  <c r="H114" i="133" s="1"/>
  <c r="B108" i="133"/>
  <c r="C125" i="133" s="1"/>
  <c r="B106" i="133"/>
  <c r="C107" i="133" s="1"/>
  <c r="E117" i="133" s="1"/>
  <c r="B116" i="133"/>
  <c r="C129" i="133" s="1"/>
  <c r="B110" i="133"/>
  <c r="C127" i="133" s="1"/>
  <c r="E128" i="133" s="1"/>
  <c r="E119" i="133"/>
  <c r="H118" i="133" s="1"/>
  <c r="M143" i="133"/>
  <c r="I143" i="133" s="1"/>
  <c r="M141" i="133"/>
  <c r="I142" i="133"/>
  <c r="I141" i="133"/>
  <c r="E124" i="133"/>
  <c r="H129" i="133" s="1"/>
  <c r="E133" i="133"/>
  <c r="H126" i="133"/>
  <c r="P28" i="132"/>
  <c r="B28" i="132" s="1"/>
  <c r="P27" i="132"/>
  <c r="B27" i="132" s="1"/>
  <c r="P21" i="132"/>
  <c r="B21" i="132" s="1"/>
  <c r="P50" i="132"/>
  <c r="B50" i="132" s="1"/>
  <c r="P9" i="132"/>
  <c r="B9" i="132" s="1"/>
  <c r="P52" i="132"/>
  <c r="P20" i="132"/>
  <c r="B20" i="132" s="1"/>
  <c r="P60" i="132"/>
  <c r="P36" i="132"/>
  <c r="D36" i="132" s="1"/>
  <c r="P40" i="132"/>
  <c r="B40" i="132" s="1"/>
  <c r="P26" i="132"/>
  <c r="D26" i="132" s="1"/>
  <c r="P33" i="132"/>
  <c r="B33" i="132" s="1"/>
  <c r="P24" i="132"/>
  <c r="P54" i="132"/>
  <c r="P16" i="132"/>
  <c r="P30" i="132"/>
  <c r="B30" i="132" s="1"/>
  <c r="P37" i="132"/>
  <c r="D37" i="132" s="1"/>
  <c r="P57" i="132"/>
  <c r="D57" i="132" s="1"/>
  <c r="P18" i="132"/>
  <c r="D18" i="132" s="1"/>
  <c r="P53" i="132"/>
  <c r="B53" i="132" s="1"/>
  <c r="P62" i="132"/>
  <c r="D62" i="132" s="1"/>
  <c r="P43" i="132"/>
  <c r="B43" i="132" s="1"/>
  <c r="P34" i="132"/>
  <c r="B34" i="132" s="1"/>
  <c r="P38" i="132"/>
  <c r="B38" i="132" s="1"/>
  <c r="P12" i="132"/>
  <c r="B12" i="132" s="1"/>
  <c r="P63" i="132"/>
  <c r="B63" i="132" s="1"/>
  <c r="P48" i="132"/>
  <c r="P45" i="132"/>
  <c r="P35" i="132"/>
  <c r="P58" i="132"/>
  <c r="P49" i="132"/>
  <c r="D49" i="132" s="1"/>
  <c r="P55" i="132"/>
  <c r="D55" i="132" s="1"/>
  <c r="P29" i="132"/>
  <c r="B29" i="132" s="1"/>
  <c r="P22" i="132"/>
  <c r="B22" i="132" s="1"/>
  <c r="P25" i="132"/>
  <c r="D25" i="132" s="1"/>
  <c r="P47" i="132"/>
  <c r="P56" i="132"/>
  <c r="P32" i="132"/>
  <c r="B32" i="132" s="1"/>
  <c r="P8" i="132"/>
  <c r="P51" i="132"/>
  <c r="B51" i="132" s="1"/>
  <c r="P41" i="132"/>
  <c r="B41" i="132" s="1"/>
  <c r="P61" i="132"/>
  <c r="P13" i="132"/>
  <c r="B13" i="132" s="1"/>
  <c r="P46" i="132"/>
  <c r="B46" i="132" s="1"/>
  <c r="P31" i="132"/>
  <c r="P10" i="132"/>
  <c r="D10" i="132" s="1"/>
  <c r="P39" i="132"/>
  <c r="P19" i="132"/>
  <c r="B19" i="132" s="1"/>
  <c r="P17" i="132"/>
  <c r="B17" i="132" s="1"/>
  <c r="P15" i="132"/>
  <c r="B15" i="132" s="1"/>
  <c r="P23" i="132"/>
  <c r="P42" i="132"/>
  <c r="D42" i="132" s="1"/>
  <c r="P44" i="132"/>
  <c r="B44" i="132" s="1"/>
  <c r="P59" i="132"/>
  <c r="D59" i="132" s="1"/>
  <c r="P11" i="132"/>
  <c r="B11" i="132" s="1"/>
  <c r="P14" i="132"/>
  <c r="B14" i="132" s="1"/>
  <c r="A4" i="132"/>
  <c r="F46" i="87"/>
  <c r="A3" i="105" s="1"/>
  <c r="E46" i="87"/>
  <c r="A1" i="105" s="1"/>
  <c r="M1" i="132"/>
  <c r="U1" i="105"/>
  <c r="H121" i="133" l="1"/>
  <c r="H135" i="133"/>
  <c r="H157" i="133"/>
  <c r="H151" i="133"/>
  <c r="H154" i="133"/>
  <c r="H61" i="132"/>
  <c r="B61" i="132"/>
  <c r="F47" i="132"/>
  <c r="B47" i="132"/>
  <c r="B58" i="132"/>
  <c r="F58" i="132"/>
  <c r="F45" i="132"/>
  <c r="B45" i="132"/>
  <c r="D54" i="132"/>
  <c r="F54" i="132"/>
  <c r="D60" i="132"/>
  <c r="H60" i="132"/>
  <c r="B52" i="132"/>
  <c r="F52" i="132"/>
  <c r="H23" i="132"/>
  <c r="B23" i="132"/>
  <c r="D39" i="132"/>
  <c r="H39" i="132"/>
  <c r="D31" i="132"/>
  <c r="H31" i="132"/>
  <c r="B8" i="132"/>
  <c r="F8" i="132"/>
  <c r="H56" i="132"/>
  <c r="B56" i="132"/>
  <c r="D35" i="132"/>
  <c r="F35" i="132"/>
  <c r="B48" i="132"/>
  <c r="A48" i="132" s="1"/>
  <c r="F48" i="132"/>
  <c r="E48" i="132" s="1"/>
  <c r="D16" i="132"/>
  <c r="H16" i="132"/>
  <c r="D24" i="132"/>
  <c r="C24" i="132" s="1"/>
  <c r="H24" i="132"/>
  <c r="G24" i="132" s="1"/>
  <c r="I11" i="132"/>
  <c r="I44" i="132"/>
  <c r="I23" i="132"/>
  <c r="I17" i="132"/>
  <c r="I39" i="132"/>
  <c r="I31" i="132"/>
  <c r="I13" i="132"/>
  <c r="I41" i="132"/>
  <c r="I8" i="132"/>
  <c r="I56" i="132"/>
  <c r="I25" i="132"/>
  <c r="I29" i="132"/>
  <c r="I49" i="132"/>
  <c r="I35" i="132"/>
  <c r="I48" i="132"/>
  <c r="I12" i="132"/>
  <c r="I34" i="132"/>
  <c r="I62" i="132"/>
  <c r="I18" i="132"/>
  <c r="I37" i="132"/>
  <c r="I16" i="132"/>
  <c r="I24" i="132"/>
  <c r="I26" i="132"/>
  <c r="I36" i="132"/>
  <c r="I20" i="132"/>
  <c r="I9" i="132"/>
  <c r="I21" i="132"/>
  <c r="I28" i="132"/>
  <c r="I59" i="132"/>
  <c r="I42" i="132"/>
  <c r="I15" i="132"/>
  <c r="I19" i="132"/>
  <c r="I10" i="132"/>
  <c r="I46" i="132"/>
  <c r="I61" i="132"/>
  <c r="I51" i="132"/>
  <c r="I32" i="132"/>
  <c r="I47" i="132"/>
  <c r="I22" i="132"/>
  <c r="I55" i="132"/>
  <c r="I58" i="132"/>
  <c r="I45" i="132"/>
  <c r="I63" i="132"/>
  <c r="I38" i="132"/>
  <c r="I43" i="132"/>
  <c r="I53" i="132"/>
  <c r="I57" i="132"/>
  <c r="I30" i="132"/>
  <c r="I54" i="132"/>
  <c r="I33" i="132"/>
  <c r="I40" i="132"/>
  <c r="I60" i="132"/>
  <c r="I52" i="132"/>
  <c r="I50" i="132"/>
  <c r="I27" i="132"/>
  <c r="I14" i="132"/>
  <c r="A4" i="111"/>
  <c r="M98" i="1"/>
  <c r="H132" i="133" l="1"/>
  <c r="B310" i="133"/>
  <c r="B308" i="133"/>
  <c r="B306" i="133"/>
  <c r="B304" i="133"/>
  <c r="B302" i="133"/>
  <c r="B300" i="133"/>
  <c r="B309" i="133"/>
  <c r="B307" i="133"/>
  <c r="B305" i="133"/>
  <c r="B303" i="133"/>
  <c r="B301" i="133"/>
  <c r="H64" i="132"/>
  <c r="I64" i="132"/>
  <c r="C16" i="132"/>
  <c r="C35" i="132"/>
  <c r="G56" i="132"/>
  <c r="A8" i="132"/>
  <c r="B64" i="132"/>
  <c r="C31" i="132"/>
  <c r="C39" i="132"/>
  <c r="G23" i="132"/>
  <c r="A52" i="132"/>
  <c r="C60" i="132"/>
  <c r="C54" i="132"/>
  <c r="E45" i="132"/>
  <c r="A58" i="132"/>
  <c r="E47" i="132"/>
  <c r="G61" i="132"/>
  <c r="A21" i="132"/>
  <c r="A20" i="132"/>
  <c r="C26" i="132"/>
  <c r="C18" i="132"/>
  <c r="A34" i="132"/>
  <c r="C49" i="132"/>
  <c r="C25" i="132"/>
  <c r="A13" i="132"/>
  <c r="A44" i="132"/>
  <c r="D64" i="132"/>
  <c r="A50" i="132"/>
  <c r="A33" i="132"/>
  <c r="C57" i="132"/>
  <c r="A43" i="132"/>
  <c r="A63" i="132"/>
  <c r="A22" i="132"/>
  <c r="A51" i="132"/>
  <c r="C10" i="132"/>
  <c r="A15" i="132"/>
  <c r="C59" i="132"/>
  <c r="G16" i="132"/>
  <c r="E35" i="132"/>
  <c r="A56" i="132"/>
  <c r="E8" i="132"/>
  <c r="F64" i="132"/>
  <c r="G31" i="132"/>
  <c r="G39" i="132"/>
  <c r="A23" i="132"/>
  <c r="E52" i="132"/>
  <c r="G60" i="132"/>
  <c r="E54" i="132"/>
  <c r="A45" i="132"/>
  <c r="E58" i="132"/>
  <c r="A47" i="132"/>
  <c r="A61" i="132"/>
  <c r="A28" i="132"/>
  <c r="A9" i="132"/>
  <c r="C36" i="132"/>
  <c r="C37" i="132"/>
  <c r="C62" i="132"/>
  <c r="A12" i="132"/>
  <c r="A29" i="132"/>
  <c r="A41" i="132"/>
  <c r="A17" i="132"/>
  <c r="A11" i="132"/>
  <c r="A27" i="132"/>
  <c r="A40" i="132"/>
  <c r="A30" i="132"/>
  <c r="A53" i="132"/>
  <c r="A38" i="132"/>
  <c r="C55" i="132"/>
  <c r="A32" i="132"/>
  <c r="A46" i="132"/>
  <c r="A19" i="132"/>
  <c r="C42" i="132"/>
  <c r="A14" i="132"/>
  <c r="C64" i="132"/>
  <c r="AC8" i="105"/>
  <c r="AC9" i="105"/>
  <c r="AC10" i="105"/>
  <c r="AC11" i="105"/>
  <c r="AC12" i="105"/>
  <c r="AC13" i="105"/>
  <c r="AC14" i="105"/>
  <c r="AC15" i="105"/>
  <c r="AC16" i="105"/>
  <c r="AC17" i="105"/>
  <c r="AC18" i="105"/>
  <c r="AC19" i="105"/>
  <c r="AC20" i="105"/>
  <c r="AC21" i="105"/>
  <c r="AC22" i="105"/>
  <c r="AC23" i="105"/>
  <c r="AC24" i="105"/>
  <c r="AC25" i="105"/>
  <c r="AC26" i="105"/>
  <c r="AC7" i="105"/>
  <c r="A64" i="132" l="1"/>
  <c r="G64" i="132"/>
  <c r="E64" i="132"/>
  <c r="K118" i="111"/>
  <c r="M103" i="1" l="1"/>
  <c r="AH2" i="88" l="1"/>
  <c r="E42" i="87"/>
  <c r="K89" i="1"/>
  <c r="D300" i="131"/>
  <c r="D301" i="131" s="1"/>
  <c r="D302" i="131" s="1"/>
  <c r="D303" i="131" s="1"/>
  <c r="D304" i="131" s="1"/>
  <c r="D305" i="131" s="1"/>
  <c r="D306" i="131" s="1"/>
  <c r="D307" i="131" s="1"/>
  <c r="D308" i="131" s="1"/>
  <c r="D309" i="131" s="1"/>
  <c r="D310" i="131" s="1"/>
  <c r="A2" i="131"/>
  <c r="F1" i="131"/>
  <c r="A1" i="131"/>
  <c r="AA60" i="130" l="1"/>
  <c r="AB60" i="130" s="1"/>
  <c r="Y60" i="130"/>
  <c r="Z60" i="130" s="1"/>
  <c r="W60" i="130"/>
  <c r="X60" i="130" s="1"/>
  <c r="U60" i="130"/>
  <c r="V60" i="130" s="1"/>
  <c r="S60" i="130"/>
  <c r="T60" i="130" s="1"/>
  <c r="H60" i="130"/>
  <c r="J60" i="130" s="1"/>
  <c r="AA59" i="130"/>
  <c r="AB59" i="130" s="1"/>
  <c r="Y59" i="130"/>
  <c r="Z59" i="130" s="1"/>
  <c r="W59" i="130"/>
  <c r="X59" i="130" s="1"/>
  <c r="U59" i="130"/>
  <c r="V59" i="130" s="1"/>
  <c r="S59" i="130"/>
  <c r="T59" i="130" s="1"/>
  <c r="H59" i="130"/>
  <c r="J59" i="130" s="1"/>
  <c r="AA58" i="130"/>
  <c r="AB58" i="130" s="1"/>
  <c r="Y58" i="130"/>
  <c r="Z58" i="130" s="1"/>
  <c r="W58" i="130"/>
  <c r="X58" i="130" s="1"/>
  <c r="U58" i="130"/>
  <c r="V58" i="130" s="1"/>
  <c r="S58" i="130"/>
  <c r="T58" i="130" s="1"/>
  <c r="H58" i="130"/>
  <c r="J58" i="130" s="1"/>
  <c r="AA57" i="130"/>
  <c r="AB57" i="130" s="1"/>
  <c r="Y57" i="130"/>
  <c r="Z57" i="130" s="1"/>
  <c r="W57" i="130"/>
  <c r="X57" i="130" s="1"/>
  <c r="U57" i="130"/>
  <c r="V57" i="130" s="1"/>
  <c r="S57" i="130"/>
  <c r="T57" i="130" s="1"/>
  <c r="H57" i="130"/>
  <c r="J57" i="130" s="1"/>
  <c r="AA56" i="130"/>
  <c r="AB56" i="130" s="1"/>
  <c r="Y56" i="130"/>
  <c r="Z56" i="130" s="1"/>
  <c r="W56" i="130"/>
  <c r="X56" i="130" s="1"/>
  <c r="U56" i="130"/>
  <c r="V56" i="130" s="1"/>
  <c r="S56" i="130"/>
  <c r="T56" i="130" s="1"/>
  <c r="H56" i="130"/>
  <c r="J56" i="130" s="1"/>
  <c r="M55" i="130"/>
  <c r="I59" i="130" s="1"/>
  <c r="AA53" i="130"/>
  <c r="AB53" i="130" s="1"/>
  <c r="Y53" i="130"/>
  <c r="Z53" i="130" s="1"/>
  <c r="W53" i="130"/>
  <c r="X53" i="130" s="1"/>
  <c r="U53" i="130"/>
  <c r="V53" i="130" s="1"/>
  <c r="S53" i="130"/>
  <c r="T53" i="130" s="1"/>
  <c r="H53" i="130"/>
  <c r="J53" i="130" s="1"/>
  <c r="AB52" i="130"/>
  <c r="AA52" i="130"/>
  <c r="Z52" i="130"/>
  <c r="Y52" i="130"/>
  <c r="X52" i="130"/>
  <c r="W52" i="130"/>
  <c r="V52" i="130"/>
  <c r="U52" i="130"/>
  <c r="T52" i="130"/>
  <c r="S52" i="130"/>
  <c r="R52" i="130"/>
  <c r="H52" i="130"/>
  <c r="J52" i="130" s="1"/>
  <c r="AA51" i="130"/>
  <c r="AB51" i="130" s="1"/>
  <c r="Y51" i="130"/>
  <c r="Z51" i="130" s="1"/>
  <c r="W51" i="130"/>
  <c r="X51" i="130" s="1"/>
  <c r="U51" i="130"/>
  <c r="V51" i="130" s="1"/>
  <c r="S51" i="130"/>
  <c r="T51" i="130" s="1"/>
  <c r="H51" i="130"/>
  <c r="J51" i="130" s="1"/>
  <c r="AA50" i="130"/>
  <c r="AB50" i="130" s="1"/>
  <c r="Y50" i="130"/>
  <c r="Z50" i="130" s="1"/>
  <c r="W50" i="130"/>
  <c r="X50" i="130" s="1"/>
  <c r="U50" i="130"/>
  <c r="V50" i="130" s="1"/>
  <c r="S50" i="130"/>
  <c r="T50" i="130" s="1"/>
  <c r="H50" i="130"/>
  <c r="J50" i="130" s="1"/>
  <c r="AA49" i="130"/>
  <c r="AB49" i="130" s="1"/>
  <c r="Y49" i="130"/>
  <c r="Z49" i="130" s="1"/>
  <c r="W49" i="130"/>
  <c r="X49" i="130" s="1"/>
  <c r="U49" i="130"/>
  <c r="V49" i="130" s="1"/>
  <c r="S49" i="130"/>
  <c r="T49" i="130" s="1"/>
  <c r="H49" i="130"/>
  <c r="J49" i="130" s="1"/>
  <c r="M48" i="130"/>
  <c r="AA46" i="130"/>
  <c r="AB46" i="130" s="1"/>
  <c r="Y46" i="130"/>
  <c r="Z46" i="130" s="1"/>
  <c r="W46" i="130"/>
  <c r="X46" i="130" s="1"/>
  <c r="U46" i="130"/>
  <c r="V46" i="130" s="1"/>
  <c r="S46" i="130"/>
  <c r="T46" i="130" s="1"/>
  <c r="H46" i="130"/>
  <c r="J46" i="130" s="1"/>
  <c r="AA45" i="130"/>
  <c r="AB45" i="130" s="1"/>
  <c r="Y45" i="130"/>
  <c r="Z45" i="130" s="1"/>
  <c r="W45" i="130"/>
  <c r="X45" i="130" s="1"/>
  <c r="U45" i="130"/>
  <c r="V45" i="130" s="1"/>
  <c r="S45" i="130"/>
  <c r="T45" i="130" s="1"/>
  <c r="H45" i="130"/>
  <c r="J45" i="130" s="1"/>
  <c r="AA44" i="130"/>
  <c r="AB44" i="130" s="1"/>
  <c r="Y44" i="130"/>
  <c r="Z44" i="130" s="1"/>
  <c r="W44" i="130"/>
  <c r="X44" i="130" s="1"/>
  <c r="U44" i="130"/>
  <c r="V44" i="130" s="1"/>
  <c r="S44" i="130"/>
  <c r="T44" i="130" s="1"/>
  <c r="H44" i="130"/>
  <c r="J44" i="130" s="1"/>
  <c r="AA43" i="130"/>
  <c r="AB43" i="130" s="1"/>
  <c r="Y43" i="130"/>
  <c r="Z43" i="130" s="1"/>
  <c r="W43" i="130"/>
  <c r="X43" i="130" s="1"/>
  <c r="U43" i="130"/>
  <c r="V43" i="130" s="1"/>
  <c r="S43" i="130"/>
  <c r="T43" i="130" s="1"/>
  <c r="H43" i="130"/>
  <c r="J43" i="130" s="1"/>
  <c r="AA42" i="130"/>
  <c r="AB42" i="130" s="1"/>
  <c r="Y42" i="130"/>
  <c r="Z42" i="130" s="1"/>
  <c r="W42" i="130"/>
  <c r="X42" i="130" s="1"/>
  <c r="U42" i="130"/>
  <c r="V42" i="130" s="1"/>
  <c r="S42" i="130"/>
  <c r="T42" i="130" s="1"/>
  <c r="H42" i="130"/>
  <c r="J42" i="130" s="1"/>
  <c r="M41" i="130"/>
  <c r="I45" i="130" s="1"/>
  <c r="AA39" i="130"/>
  <c r="AB39" i="130" s="1"/>
  <c r="Y39" i="130"/>
  <c r="Z39" i="130" s="1"/>
  <c r="W39" i="130"/>
  <c r="X39" i="130" s="1"/>
  <c r="U39" i="130"/>
  <c r="V39" i="130" s="1"/>
  <c r="S39" i="130"/>
  <c r="T39" i="130" s="1"/>
  <c r="H39" i="130"/>
  <c r="J39" i="130" s="1"/>
  <c r="AA38" i="130"/>
  <c r="AB38" i="130" s="1"/>
  <c r="Y38" i="130"/>
  <c r="Z38" i="130" s="1"/>
  <c r="W38" i="130"/>
  <c r="X38" i="130" s="1"/>
  <c r="U38" i="130"/>
  <c r="V38" i="130" s="1"/>
  <c r="S38" i="130"/>
  <c r="T38" i="130" s="1"/>
  <c r="H38" i="130"/>
  <c r="J38" i="130" s="1"/>
  <c r="AA37" i="130"/>
  <c r="AB37" i="130" s="1"/>
  <c r="Y37" i="130"/>
  <c r="Z37" i="130" s="1"/>
  <c r="W37" i="130"/>
  <c r="X37" i="130" s="1"/>
  <c r="U37" i="130"/>
  <c r="V37" i="130" s="1"/>
  <c r="S37" i="130"/>
  <c r="T37" i="130" s="1"/>
  <c r="H37" i="130"/>
  <c r="J37" i="130" s="1"/>
  <c r="AA36" i="130"/>
  <c r="AB36" i="130" s="1"/>
  <c r="Y36" i="130"/>
  <c r="Z36" i="130" s="1"/>
  <c r="W36" i="130"/>
  <c r="X36" i="130" s="1"/>
  <c r="U36" i="130"/>
  <c r="V36" i="130" s="1"/>
  <c r="S36" i="130"/>
  <c r="T36" i="130" s="1"/>
  <c r="H36" i="130"/>
  <c r="J36" i="130" s="1"/>
  <c r="AB35" i="130"/>
  <c r="AA35" i="130"/>
  <c r="Z35" i="130"/>
  <c r="Y35" i="130"/>
  <c r="X35" i="130"/>
  <c r="W35" i="130"/>
  <c r="V35" i="130"/>
  <c r="U35" i="130"/>
  <c r="T35" i="130"/>
  <c r="R35" i="130" s="1"/>
  <c r="S35" i="130"/>
  <c r="H35" i="130"/>
  <c r="J35" i="130" s="1"/>
  <c r="M34" i="130"/>
  <c r="I38" i="130" s="1"/>
  <c r="AA32" i="130"/>
  <c r="AB32" i="130" s="1"/>
  <c r="Y32" i="130"/>
  <c r="Z32" i="130" s="1"/>
  <c r="W32" i="130"/>
  <c r="X32" i="130" s="1"/>
  <c r="U32" i="130"/>
  <c r="V32" i="130" s="1"/>
  <c r="S32" i="130"/>
  <c r="T32" i="130" s="1"/>
  <c r="H32" i="130"/>
  <c r="J32" i="130" s="1"/>
  <c r="AA31" i="130"/>
  <c r="AB31" i="130" s="1"/>
  <c r="Y31" i="130"/>
  <c r="Z31" i="130" s="1"/>
  <c r="W31" i="130"/>
  <c r="X31" i="130" s="1"/>
  <c r="U31" i="130"/>
  <c r="V31" i="130" s="1"/>
  <c r="S31" i="130"/>
  <c r="T31" i="130" s="1"/>
  <c r="H31" i="130"/>
  <c r="J31" i="130" s="1"/>
  <c r="AA30" i="130"/>
  <c r="AB30" i="130" s="1"/>
  <c r="Y30" i="130"/>
  <c r="Z30" i="130" s="1"/>
  <c r="W30" i="130"/>
  <c r="X30" i="130" s="1"/>
  <c r="U30" i="130"/>
  <c r="V30" i="130" s="1"/>
  <c r="S30" i="130"/>
  <c r="T30" i="130" s="1"/>
  <c r="H30" i="130"/>
  <c r="J30" i="130" s="1"/>
  <c r="AA29" i="130"/>
  <c r="AB29" i="130" s="1"/>
  <c r="Y29" i="130"/>
  <c r="Z29" i="130" s="1"/>
  <c r="W29" i="130"/>
  <c r="X29" i="130" s="1"/>
  <c r="U29" i="130"/>
  <c r="V29" i="130" s="1"/>
  <c r="S29" i="130"/>
  <c r="T29" i="130" s="1"/>
  <c r="H29" i="130"/>
  <c r="J29" i="130" s="1"/>
  <c r="AA28" i="130"/>
  <c r="AB28" i="130" s="1"/>
  <c r="Y28" i="130"/>
  <c r="Z28" i="130" s="1"/>
  <c r="W28" i="130"/>
  <c r="X28" i="130" s="1"/>
  <c r="U28" i="130"/>
  <c r="V28" i="130" s="1"/>
  <c r="S28" i="130"/>
  <c r="T28" i="130" s="1"/>
  <c r="H28" i="130"/>
  <c r="J28" i="130" s="1"/>
  <c r="M27" i="130"/>
  <c r="I32" i="130" s="1"/>
  <c r="AA25" i="130"/>
  <c r="AB25" i="130" s="1"/>
  <c r="Y25" i="130"/>
  <c r="Z25" i="130" s="1"/>
  <c r="W25" i="130"/>
  <c r="X25" i="130" s="1"/>
  <c r="U25" i="130"/>
  <c r="V25" i="130" s="1"/>
  <c r="S25" i="130"/>
  <c r="T25" i="130" s="1"/>
  <c r="I25" i="130"/>
  <c r="H25" i="130"/>
  <c r="J25" i="130" s="1"/>
  <c r="AA24" i="130"/>
  <c r="AB24" i="130" s="1"/>
  <c r="Y24" i="130"/>
  <c r="Z24" i="130" s="1"/>
  <c r="W24" i="130"/>
  <c r="X24" i="130" s="1"/>
  <c r="U24" i="130"/>
  <c r="V24" i="130" s="1"/>
  <c r="S24" i="130"/>
  <c r="T24" i="130" s="1"/>
  <c r="I24" i="130"/>
  <c r="H24" i="130"/>
  <c r="J24" i="130" s="1"/>
  <c r="AA23" i="130"/>
  <c r="AB23" i="130" s="1"/>
  <c r="Y23" i="130"/>
  <c r="Z23" i="130" s="1"/>
  <c r="W23" i="130"/>
  <c r="X23" i="130" s="1"/>
  <c r="U23" i="130"/>
  <c r="V23" i="130" s="1"/>
  <c r="S23" i="130"/>
  <c r="T23" i="130" s="1"/>
  <c r="I23" i="130"/>
  <c r="H23" i="130"/>
  <c r="J23" i="130" s="1"/>
  <c r="AA22" i="130"/>
  <c r="AB22" i="130" s="1"/>
  <c r="Y22" i="130"/>
  <c r="Z22" i="130" s="1"/>
  <c r="W22" i="130"/>
  <c r="X22" i="130" s="1"/>
  <c r="U22" i="130"/>
  <c r="V22" i="130" s="1"/>
  <c r="S22" i="130"/>
  <c r="T22" i="130" s="1"/>
  <c r="I22" i="130"/>
  <c r="H22" i="130"/>
  <c r="J22" i="130" s="1"/>
  <c r="AA21" i="130"/>
  <c r="AB21" i="130" s="1"/>
  <c r="Y21" i="130"/>
  <c r="Z21" i="130" s="1"/>
  <c r="W21" i="130"/>
  <c r="X21" i="130" s="1"/>
  <c r="U21" i="130"/>
  <c r="V21" i="130" s="1"/>
  <c r="S21" i="130"/>
  <c r="T21" i="130" s="1"/>
  <c r="I21" i="130"/>
  <c r="H21" i="130"/>
  <c r="J21" i="130" s="1"/>
  <c r="M20" i="130"/>
  <c r="AA18" i="130"/>
  <c r="AB18" i="130" s="1"/>
  <c r="Y18" i="130"/>
  <c r="Z18" i="130" s="1"/>
  <c r="W18" i="130"/>
  <c r="X18" i="130" s="1"/>
  <c r="U18" i="130"/>
  <c r="V18" i="130" s="1"/>
  <c r="S18" i="130"/>
  <c r="T18" i="130" s="1"/>
  <c r="H18" i="130"/>
  <c r="J18" i="130" s="1"/>
  <c r="AA17" i="130"/>
  <c r="AB17" i="130" s="1"/>
  <c r="Y17" i="130"/>
  <c r="Z17" i="130" s="1"/>
  <c r="W17" i="130"/>
  <c r="X17" i="130" s="1"/>
  <c r="U17" i="130"/>
  <c r="V17" i="130" s="1"/>
  <c r="S17" i="130"/>
  <c r="T17" i="130" s="1"/>
  <c r="H17" i="130"/>
  <c r="J17" i="130" s="1"/>
  <c r="AA16" i="130"/>
  <c r="AB16" i="130" s="1"/>
  <c r="Y16" i="130"/>
  <c r="Z16" i="130" s="1"/>
  <c r="W16" i="130"/>
  <c r="X16" i="130" s="1"/>
  <c r="U16" i="130"/>
  <c r="V16" i="130" s="1"/>
  <c r="S16" i="130"/>
  <c r="T16" i="130" s="1"/>
  <c r="H16" i="130"/>
  <c r="J16" i="130" s="1"/>
  <c r="AA15" i="130"/>
  <c r="AB15" i="130" s="1"/>
  <c r="Y15" i="130"/>
  <c r="Z15" i="130" s="1"/>
  <c r="W15" i="130"/>
  <c r="X15" i="130" s="1"/>
  <c r="U15" i="130"/>
  <c r="V15" i="130" s="1"/>
  <c r="S15" i="130"/>
  <c r="T15" i="130" s="1"/>
  <c r="H15" i="130"/>
  <c r="J15" i="130" s="1"/>
  <c r="AA14" i="130"/>
  <c r="AB14" i="130" s="1"/>
  <c r="Y14" i="130"/>
  <c r="Z14" i="130" s="1"/>
  <c r="W14" i="130"/>
  <c r="X14" i="130" s="1"/>
  <c r="U14" i="130"/>
  <c r="V14" i="130" s="1"/>
  <c r="S14" i="130"/>
  <c r="T14" i="130" s="1"/>
  <c r="H14" i="130"/>
  <c r="J14" i="130" s="1"/>
  <c r="M13" i="130"/>
  <c r="I17" i="130" s="1"/>
  <c r="AA11" i="130"/>
  <c r="AB11" i="130" s="1"/>
  <c r="Y11" i="130"/>
  <c r="Z11" i="130" s="1"/>
  <c r="W11" i="130"/>
  <c r="U11" i="130"/>
  <c r="S11" i="130"/>
  <c r="H11" i="130"/>
  <c r="J11" i="130" s="1"/>
  <c r="AA10" i="130"/>
  <c r="AB10" i="130" s="1"/>
  <c r="Y10" i="130"/>
  <c r="Z10" i="130" s="1"/>
  <c r="W10" i="130"/>
  <c r="U10" i="130"/>
  <c r="S10" i="130"/>
  <c r="H10" i="130"/>
  <c r="J10" i="130" s="1"/>
  <c r="AA9" i="130"/>
  <c r="AB9" i="130" s="1"/>
  <c r="Y9" i="130"/>
  <c r="Z9" i="130" s="1"/>
  <c r="W9" i="130"/>
  <c r="U9" i="130"/>
  <c r="S9" i="130"/>
  <c r="H9" i="130"/>
  <c r="J9" i="130" s="1"/>
  <c r="AA8" i="130"/>
  <c r="AB8" i="130" s="1"/>
  <c r="Y8" i="130"/>
  <c r="Z8" i="130" s="1"/>
  <c r="W8" i="130"/>
  <c r="U8" i="130"/>
  <c r="S8" i="130"/>
  <c r="H8" i="130"/>
  <c r="J8" i="130" s="1"/>
  <c r="AA7" i="130"/>
  <c r="AB7" i="130" s="1"/>
  <c r="Y7" i="130"/>
  <c r="Z7" i="130" s="1"/>
  <c r="W7" i="130"/>
  <c r="U7" i="130"/>
  <c r="S7" i="130"/>
  <c r="H7" i="130"/>
  <c r="J7" i="130" s="1"/>
  <c r="M6" i="130"/>
  <c r="D1" i="130"/>
  <c r="R30" i="130" l="1"/>
  <c r="R23" i="130"/>
  <c r="R25" i="130"/>
  <c r="R17" i="130"/>
  <c r="R22" i="130"/>
  <c r="R53" i="130"/>
  <c r="R43" i="130"/>
  <c r="R28" i="130"/>
  <c r="I18" i="130"/>
  <c r="I31" i="130"/>
  <c r="R15" i="130"/>
  <c r="I29" i="130"/>
  <c r="R32" i="130"/>
  <c r="R42" i="130"/>
  <c r="R44" i="130"/>
  <c r="R49" i="130"/>
  <c r="R57" i="130"/>
  <c r="R59" i="130"/>
  <c r="L28" i="130"/>
  <c r="R37" i="130"/>
  <c r="R39" i="130"/>
  <c r="R45" i="130"/>
  <c r="R50" i="130"/>
  <c r="I36" i="130"/>
  <c r="L50" i="130"/>
  <c r="R14" i="130"/>
  <c r="I16" i="130"/>
  <c r="R18" i="130"/>
  <c r="R21" i="130"/>
  <c r="R29" i="130"/>
  <c r="R31" i="130"/>
  <c r="R46" i="130"/>
  <c r="L49" i="130"/>
  <c r="R51" i="130"/>
  <c r="R56" i="130"/>
  <c r="R58" i="130"/>
  <c r="R60" i="130"/>
  <c r="K7" i="130"/>
  <c r="L7" i="130"/>
  <c r="K14" i="130"/>
  <c r="M14" i="130" s="1"/>
  <c r="K15" i="130"/>
  <c r="L15" i="130"/>
  <c r="L16" i="130"/>
  <c r="K16" i="130"/>
  <c r="R16" i="130"/>
  <c r="K22" i="130"/>
  <c r="L22" i="130"/>
  <c r="K23" i="130"/>
  <c r="L23" i="130"/>
  <c r="K25" i="130"/>
  <c r="L25" i="130"/>
  <c r="L8" i="130"/>
  <c r="K8" i="130"/>
  <c r="K9" i="130"/>
  <c r="L9" i="130"/>
  <c r="L10" i="130"/>
  <c r="K10" i="130"/>
  <c r="K11" i="130"/>
  <c r="L11" i="130"/>
  <c r="K17" i="130"/>
  <c r="L17" i="130"/>
  <c r="L18" i="130"/>
  <c r="K18" i="130"/>
  <c r="L21" i="130"/>
  <c r="K21" i="130"/>
  <c r="L29" i="130"/>
  <c r="K29" i="130"/>
  <c r="K30" i="130"/>
  <c r="L32" i="130"/>
  <c r="K32" i="130"/>
  <c r="L37" i="130"/>
  <c r="K37" i="130"/>
  <c r="K38" i="130"/>
  <c r="L38" i="130"/>
  <c r="L39" i="130"/>
  <c r="K39" i="130"/>
  <c r="I14" i="130"/>
  <c r="I15" i="130"/>
  <c r="L24" i="130"/>
  <c r="K24" i="130"/>
  <c r="R24" i="130"/>
  <c r="K28" i="130"/>
  <c r="M28" i="130" s="1"/>
  <c r="M29" i="130"/>
  <c r="L30" i="130"/>
  <c r="M30" i="130" s="1"/>
  <c r="K31" i="130"/>
  <c r="L31" i="130"/>
  <c r="L35" i="130"/>
  <c r="K35" i="130"/>
  <c r="M35" i="130" s="1"/>
  <c r="K36" i="130"/>
  <c r="L36" i="130"/>
  <c r="R36" i="130"/>
  <c r="R38" i="130"/>
  <c r="K42" i="130"/>
  <c r="M42" i="130" s="1"/>
  <c r="K43" i="130"/>
  <c r="L43" i="130"/>
  <c r="I28" i="130"/>
  <c r="I30" i="130"/>
  <c r="I35" i="130"/>
  <c r="I37" i="130"/>
  <c r="I39" i="130"/>
  <c r="I42" i="130"/>
  <c r="I43" i="130"/>
  <c r="L44" i="130"/>
  <c r="K44" i="130"/>
  <c r="K45" i="130"/>
  <c r="I46" i="130"/>
  <c r="I52" i="130"/>
  <c r="I50" i="130"/>
  <c r="I53" i="130"/>
  <c r="I49" i="130"/>
  <c r="L51" i="130"/>
  <c r="K51" i="130"/>
  <c r="K52" i="130"/>
  <c r="L56" i="130"/>
  <c r="K56" i="130"/>
  <c r="K57" i="130"/>
  <c r="L57" i="130"/>
  <c r="L58" i="130"/>
  <c r="K58" i="130"/>
  <c r="K59" i="130"/>
  <c r="L59" i="130"/>
  <c r="L60" i="130"/>
  <c r="K60" i="130"/>
  <c r="I44" i="130"/>
  <c r="M44" i="130"/>
  <c r="L45" i="130"/>
  <c r="L46" i="130"/>
  <c r="K46" i="130"/>
  <c r="K49" i="130"/>
  <c r="M49" i="130" s="1"/>
  <c r="K50" i="130"/>
  <c r="M50" i="130" s="1"/>
  <c r="I51" i="130"/>
  <c r="M51" i="130"/>
  <c r="L52" i="130"/>
  <c r="L53" i="130"/>
  <c r="K53" i="130"/>
  <c r="I56" i="130"/>
  <c r="I58" i="130"/>
  <c r="I60" i="130"/>
  <c r="I57" i="130"/>
  <c r="M53" i="130" l="1"/>
  <c r="M60" i="130"/>
  <c r="M10" i="130"/>
  <c r="M39" i="130"/>
  <c r="M38" i="130"/>
  <c r="M37" i="130"/>
  <c r="M21" i="130"/>
  <c r="M18" i="130"/>
  <c r="M17" i="130"/>
  <c r="M8" i="130"/>
  <c r="M58" i="130"/>
  <c r="M56" i="130"/>
  <c r="M43" i="130"/>
  <c r="M52" i="130"/>
  <c r="M45" i="130"/>
  <c r="M11" i="130"/>
  <c r="M9" i="130"/>
  <c r="M25" i="130"/>
  <c r="M23" i="130"/>
  <c r="M22" i="130"/>
  <c r="M16" i="130"/>
  <c r="M15" i="130"/>
  <c r="M7" i="130"/>
  <c r="I8" i="130" s="1"/>
  <c r="M46" i="130"/>
  <c r="M59" i="130"/>
  <c r="M57" i="130"/>
  <c r="M36" i="130"/>
  <c r="M31" i="130"/>
  <c r="M24" i="130"/>
  <c r="M32" i="130"/>
  <c r="I10" i="130"/>
  <c r="K99" i="1"/>
  <c r="I7" i="130" l="1"/>
  <c r="H111" i="130" s="1"/>
  <c r="I11" i="130"/>
  <c r="I9" i="130"/>
  <c r="H102" i="130" s="1"/>
  <c r="H105" i="130"/>
  <c r="M96" i="1"/>
  <c r="H108" i="130" l="1"/>
  <c r="H114" i="130"/>
  <c r="B303" i="130"/>
  <c r="B301" i="130"/>
  <c r="B302" i="130"/>
  <c r="B300" i="130"/>
  <c r="R63" i="88"/>
  <c r="R64" i="88"/>
  <c r="R65" i="88"/>
  <c r="F47" i="87"/>
  <c r="A3" i="132" s="1"/>
  <c r="K101" i="1"/>
  <c r="AA10" i="64" l="1"/>
  <c r="AA14" i="64"/>
  <c r="AA16" i="64"/>
  <c r="AA18" i="64"/>
  <c r="AA32" i="64"/>
  <c r="AA9" i="64"/>
  <c r="AA11" i="64"/>
  <c r="AA13" i="64"/>
  <c r="AA15" i="64"/>
  <c r="AA17" i="64"/>
  <c r="AA25" i="64"/>
  <c r="B304" i="130"/>
  <c r="AA22" i="64" s="1"/>
  <c r="AA8" i="64"/>
  <c r="M83" i="1"/>
  <c r="AA41" i="64" l="1"/>
  <c r="AA53" i="64"/>
  <c r="AA49" i="64"/>
  <c r="AA45" i="64"/>
  <c r="AA37" i="64"/>
  <c r="AA33" i="64"/>
  <c r="AA29" i="64"/>
  <c r="AA21" i="64"/>
  <c r="AA52" i="64"/>
  <c r="AA48" i="64"/>
  <c r="AA44" i="64"/>
  <c r="AA40" i="64"/>
  <c r="AA36" i="64"/>
  <c r="AA28" i="64"/>
  <c r="AA24" i="64"/>
  <c r="AA20" i="64"/>
  <c r="AA12" i="64"/>
  <c r="AA51" i="64"/>
  <c r="AA47" i="64"/>
  <c r="AA43" i="64"/>
  <c r="AA39" i="64"/>
  <c r="AA35" i="64"/>
  <c r="AA31" i="64"/>
  <c r="AA27" i="64"/>
  <c r="AA23" i="64"/>
  <c r="AA19" i="64"/>
  <c r="AA50" i="64"/>
  <c r="AA46" i="64"/>
  <c r="AA42" i="64"/>
  <c r="AA38" i="64"/>
  <c r="AA34" i="64"/>
  <c r="AA30" i="64"/>
  <c r="AA26" i="64"/>
  <c r="A4" i="126"/>
  <c r="A2" i="126"/>
  <c r="H60" i="126"/>
  <c r="J60" i="126" s="1"/>
  <c r="H59" i="126"/>
  <c r="J59" i="126" s="1"/>
  <c r="H58" i="126"/>
  <c r="J58" i="126" s="1"/>
  <c r="H57" i="126"/>
  <c r="J57" i="126" s="1"/>
  <c r="H56" i="126"/>
  <c r="J56" i="126" s="1"/>
  <c r="M55" i="126"/>
  <c r="H53" i="126"/>
  <c r="J53" i="126" s="1"/>
  <c r="H52" i="126"/>
  <c r="J52" i="126" s="1"/>
  <c r="H51" i="126"/>
  <c r="J51" i="126" s="1"/>
  <c r="H50" i="126"/>
  <c r="J50" i="126" s="1"/>
  <c r="H49" i="126"/>
  <c r="J49" i="126" s="1"/>
  <c r="M48" i="126"/>
  <c r="H46" i="126"/>
  <c r="J46" i="126" s="1"/>
  <c r="H45" i="126"/>
  <c r="J45" i="126" s="1"/>
  <c r="H44" i="126"/>
  <c r="J44" i="126" s="1"/>
  <c r="H43" i="126"/>
  <c r="J43" i="126" s="1"/>
  <c r="H42" i="126"/>
  <c r="J42" i="126" s="1"/>
  <c r="M41" i="126"/>
  <c r="H39" i="126"/>
  <c r="J39" i="126" s="1"/>
  <c r="H38" i="126"/>
  <c r="J38" i="126" s="1"/>
  <c r="H37" i="126"/>
  <c r="J37" i="126" s="1"/>
  <c r="H36" i="126"/>
  <c r="J36" i="126" s="1"/>
  <c r="H35" i="126"/>
  <c r="J35" i="126" s="1"/>
  <c r="M34" i="126"/>
  <c r="H32" i="126"/>
  <c r="J32" i="126" s="1"/>
  <c r="H31" i="126"/>
  <c r="J31" i="126" s="1"/>
  <c r="H30" i="126"/>
  <c r="J30" i="126" s="1"/>
  <c r="H29" i="126"/>
  <c r="J29" i="126" s="1"/>
  <c r="H28" i="126"/>
  <c r="J28" i="126" s="1"/>
  <c r="M27" i="126"/>
  <c r="H25" i="126"/>
  <c r="J25" i="126" s="1"/>
  <c r="H24" i="126"/>
  <c r="J24" i="126" s="1"/>
  <c r="H23" i="126"/>
  <c r="J23" i="126" s="1"/>
  <c r="H22" i="126"/>
  <c r="J22" i="126" s="1"/>
  <c r="H21" i="126"/>
  <c r="J21" i="126" s="1"/>
  <c r="M20" i="126"/>
  <c r="H18" i="126"/>
  <c r="J18" i="126" s="1"/>
  <c r="H17" i="126"/>
  <c r="J17" i="126" s="1"/>
  <c r="H16" i="126"/>
  <c r="J16" i="126" s="1"/>
  <c r="H15" i="126"/>
  <c r="J15" i="126" s="1"/>
  <c r="H14" i="126"/>
  <c r="J14" i="126" s="1"/>
  <c r="M13" i="126"/>
  <c r="H11" i="126"/>
  <c r="J11" i="126" s="1"/>
  <c r="H10" i="126"/>
  <c r="J10" i="126" s="1"/>
  <c r="H9" i="126"/>
  <c r="J9" i="126" s="1"/>
  <c r="H8" i="126"/>
  <c r="J8" i="126" s="1"/>
  <c r="H7" i="126"/>
  <c r="J7" i="126" s="1"/>
  <c r="M6" i="126"/>
  <c r="G1" i="126"/>
  <c r="M47" i="64"/>
  <c r="B47" i="64"/>
  <c r="A47" i="64" s="1"/>
  <c r="D47" i="64"/>
  <c r="C47" i="64" s="1"/>
  <c r="K10" i="126" l="1"/>
  <c r="M10" i="126" s="1"/>
  <c r="L10" i="126"/>
  <c r="K7" i="126"/>
  <c r="M7" i="126" s="1"/>
  <c r="L7" i="126"/>
  <c r="K9" i="126"/>
  <c r="M9" i="126" s="1"/>
  <c r="L9" i="126"/>
  <c r="K11" i="126"/>
  <c r="M11" i="126" s="1"/>
  <c r="L11" i="126"/>
  <c r="L14" i="126"/>
  <c r="K14" i="126"/>
  <c r="L16" i="126"/>
  <c r="K16" i="126"/>
  <c r="L18" i="126"/>
  <c r="K18" i="126"/>
  <c r="K21" i="126"/>
  <c r="L21" i="126"/>
  <c r="K23" i="126"/>
  <c r="L23" i="126"/>
  <c r="K25" i="126"/>
  <c r="L25" i="126"/>
  <c r="L28" i="126"/>
  <c r="K28" i="126"/>
  <c r="L30" i="126"/>
  <c r="K30" i="126"/>
  <c r="L32" i="126"/>
  <c r="K32" i="126"/>
  <c r="K35" i="126"/>
  <c r="L35" i="126"/>
  <c r="K37" i="126"/>
  <c r="L37" i="126"/>
  <c r="K39" i="126"/>
  <c r="L39" i="126"/>
  <c r="L42" i="126"/>
  <c r="K42" i="126"/>
  <c r="L44" i="126"/>
  <c r="K44" i="126"/>
  <c r="L46" i="126"/>
  <c r="K46" i="126"/>
  <c r="K49" i="126"/>
  <c r="L49" i="126"/>
  <c r="K8" i="126"/>
  <c r="L8" i="126"/>
  <c r="L15" i="126"/>
  <c r="K15" i="126"/>
  <c r="L17" i="126"/>
  <c r="K17" i="126"/>
  <c r="K22" i="126"/>
  <c r="L22" i="126"/>
  <c r="K24" i="126"/>
  <c r="L24" i="126"/>
  <c r="L29" i="126"/>
  <c r="K29" i="126"/>
  <c r="L31" i="126"/>
  <c r="K31" i="126"/>
  <c r="K36" i="126"/>
  <c r="L36" i="126"/>
  <c r="K38" i="126"/>
  <c r="L38" i="126"/>
  <c r="L43" i="126"/>
  <c r="K43" i="126"/>
  <c r="L45" i="126"/>
  <c r="K45" i="126"/>
  <c r="M45" i="126" s="1"/>
  <c r="K50" i="126"/>
  <c r="L50" i="126"/>
  <c r="K51" i="126"/>
  <c r="L51" i="126"/>
  <c r="K53" i="126"/>
  <c r="L53" i="126"/>
  <c r="L56" i="126"/>
  <c r="K56" i="126"/>
  <c r="L58" i="126"/>
  <c r="K58" i="126"/>
  <c r="L60" i="126"/>
  <c r="K60" i="126"/>
  <c r="M60" i="126" s="1"/>
  <c r="K52" i="126"/>
  <c r="L52" i="126"/>
  <c r="L57" i="126"/>
  <c r="K57" i="126"/>
  <c r="M57" i="126" s="1"/>
  <c r="L59" i="126"/>
  <c r="K59" i="126"/>
  <c r="M59" i="126" s="1"/>
  <c r="M92" i="1"/>
  <c r="H182" i="125"/>
  <c r="J182" i="125" s="1"/>
  <c r="H181" i="125"/>
  <c r="J181" i="125" s="1"/>
  <c r="H180" i="125"/>
  <c r="J180" i="125" s="1"/>
  <c r="H179" i="125"/>
  <c r="J179" i="125" s="1"/>
  <c r="H178" i="125"/>
  <c r="J178" i="125" s="1"/>
  <c r="A4" i="125"/>
  <c r="A2" i="125"/>
  <c r="H60" i="125"/>
  <c r="J60" i="125" s="1"/>
  <c r="H59" i="125"/>
  <c r="J59" i="125" s="1"/>
  <c r="H58" i="125"/>
  <c r="J58" i="125" s="1"/>
  <c r="H57" i="125"/>
  <c r="J57" i="125" s="1"/>
  <c r="H56" i="125"/>
  <c r="J56" i="125" s="1"/>
  <c r="M55" i="125"/>
  <c r="H53" i="125"/>
  <c r="J53" i="125" s="1"/>
  <c r="H52" i="125"/>
  <c r="J52" i="125" s="1"/>
  <c r="H51" i="125"/>
  <c r="J51" i="125" s="1"/>
  <c r="H50" i="125"/>
  <c r="J50" i="125" s="1"/>
  <c r="H49" i="125"/>
  <c r="J49" i="125" s="1"/>
  <c r="M48" i="125"/>
  <c r="H46" i="125"/>
  <c r="J46" i="125" s="1"/>
  <c r="H45" i="125"/>
  <c r="J45" i="125" s="1"/>
  <c r="H44" i="125"/>
  <c r="J44" i="125" s="1"/>
  <c r="H43" i="125"/>
  <c r="J43" i="125" s="1"/>
  <c r="H42" i="125"/>
  <c r="J42" i="125" s="1"/>
  <c r="M41" i="125"/>
  <c r="H39" i="125"/>
  <c r="J39" i="125" s="1"/>
  <c r="H38" i="125"/>
  <c r="J38" i="125" s="1"/>
  <c r="H37" i="125"/>
  <c r="J37" i="125" s="1"/>
  <c r="H36" i="125"/>
  <c r="J36" i="125" s="1"/>
  <c r="H35" i="125"/>
  <c r="J35" i="125" s="1"/>
  <c r="M34" i="125"/>
  <c r="H32" i="125"/>
  <c r="J32" i="125" s="1"/>
  <c r="H31" i="125"/>
  <c r="J31" i="125" s="1"/>
  <c r="H30" i="125"/>
  <c r="J30" i="125" s="1"/>
  <c r="H29" i="125"/>
  <c r="J29" i="125" s="1"/>
  <c r="H28" i="125"/>
  <c r="J28" i="125" s="1"/>
  <c r="M27" i="125"/>
  <c r="H25" i="125"/>
  <c r="J25" i="125" s="1"/>
  <c r="H24" i="125"/>
  <c r="J24" i="125" s="1"/>
  <c r="H23" i="125"/>
  <c r="J23" i="125" s="1"/>
  <c r="H22" i="125"/>
  <c r="J22" i="125" s="1"/>
  <c r="H21" i="125"/>
  <c r="J21" i="125" s="1"/>
  <c r="M20" i="125"/>
  <c r="H18" i="125"/>
  <c r="J18" i="125" s="1"/>
  <c r="H17" i="125"/>
  <c r="J17" i="125" s="1"/>
  <c r="H16" i="125"/>
  <c r="J16" i="125" s="1"/>
  <c r="H15" i="125"/>
  <c r="J15" i="125" s="1"/>
  <c r="H14" i="125"/>
  <c r="J14" i="125" s="1"/>
  <c r="M13" i="125"/>
  <c r="H11" i="125"/>
  <c r="J11" i="125" s="1"/>
  <c r="H10" i="125"/>
  <c r="J10" i="125" s="1"/>
  <c r="H9" i="125"/>
  <c r="J9" i="125" s="1"/>
  <c r="H8" i="125"/>
  <c r="J8" i="125" s="1"/>
  <c r="H7" i="125"/>
  <c r="J7" i="125" s="1"/>
  <c r="M6" i="125"/>
  <c r="G1" i="125"/>
  <c r="M77" i="1"/>
  <c r="M81" i="1"/>
  <c r="K81" i="1"/>
  <c r="A77" i="1"/>
  <c r="M79" i="1"/>
  <c r="M58" i="126" l="1"/>
  <c r="M56" i="126"/>
  <c r="M43" i="126"/>
  <c r="M36" i="126"/>
  <c r="M31" i="126"/>
  <c r="M39" i="126"/>
  <c r="M25" i="126"/>
  <c r="M21" i="126"/>
  <c r="M17" i="126"/>
  <c r="M18" i="126"/>
  <c r="M15" i="126"/>
  <c r="M16" i="126"/>
  <c r="M14" i="126"/>
  <c r="I18" i="126" s="1"/>
  <c r="M8" i="126"/>
  <c r="I8" i="126" s="1"/>
  <c r="M46" i="126"/>
  <c r="M44" i="126"/>
  <c r="M42" i="126"/>
  <c r="M37" i="126"/>
  <c r="M32" i="126"/>
  <c r="M30" i="126"/>
  <c r="M51" i="126"/>
  <c r="M24" i="126"/>
  <c r="I24" i="126" s="1"/>
  <c r="M52" i="126"/>
  <c r="M53" i="126"/>
  <c r="M50" i="126"/>
  <c r="M38" i="126"/>
  <c r="M29" i="126"/>
  <c r="I29" i="126" s="1"/>
  <c r="M49" i="126"/>
  <c r="M35" i="126"/>
  <c r="I38" i="126" s="1"/>
  <c r="M28" i="126"/>
  <c r="M22" i="126"/>
  <c r="I22" i="126" s="1"/>
  <c r="M23" i="126"/>
  <c r="I39" i="126"/>
  <c r="I28" i="126"/>
  <c r="I30" i="126"/>
  <c r="I31" i="126"/>
  <c r="I23" i="126"/>
  <c r="I16" i="126"/>
  <c r="I14" i="126"/>
  <c r="I17" i="126"/>
  <c r="I53" i="126"/>
  <c r="I52" i="126"/>
  <c r="I51" i="126"/>
  <c r="I50" i="126"/>
  <c r="I49" i="126"/>
  <c r="I46" i="126"/>
  <c r="I45" i="126"/>
  <c r="I44" i="126"/>
  <c r="I43" i="126"/>
  <c r="I42" i="126"/>
  <c r="I32" i="126"/>
  <c r="I25" i="126"/>
  <c r="I21" i="126"/>
  <c r="I11" i="126"/>
  <c r="I7" i="126"/>
  <c r="I10" i="126"/>
  <c r="I60" i="126"/>
  <c r="I59" i="126"/>
  <c r="I58" i="126"/>
  <c r="I57" i="126"/>
  <c r="I56" i="126"/>
  <c r="K180" i="125"/>
  <c r="L180" i="125"/>
  <c r="K182" i="125"/>
  <c r="M182" i="125" s="1"/>
  <c r="L182" i="125"/>
  <c r="K178" i="125"/>
  <c r="M178" i="125" s="1"/>
  <c r="L178" i="125"/>
  <c r="K179" i="125"/>
  <c r="M179" i="125" s="1"/>
  <c r="L179" i="125"/>
  <c r="K181" i="125"/>
  <c r="M181" i="125" s="1"/>
  <c r="L181" i="125"/>
  <c r="K8" i="125"/>
  <c r="M8" i="125" s="1"/>
  <c r="L8" i="125"/>
  <c r="K10" i="125"/>
  <c r="M10" i="125" s="1"/>
  <c r="L10" i="125"/>
  <c r="K7" i="125"/>
  <c r="M7" i="125" s="1"/>
  <c r="L7" i="125"/>
  <c r="K9" i="125"/>
  <c r="M9" i="125" s="1"/>
  <c r="L9" i="125"/>
  <c r="K11" i="125"/>
  <c r="M11" i="125" s="1"/>
  <c r="I11" i="125" s="1"/>
  <c r="L11" i="125"/>
  <c r="L14" i="125"/>
  <c r="K14" i="125"/>
  <c r="L16" i="125"/>
  <c r="K16" i="125"/>
  <c r="L18" i="125"/>
  <c r="K18" i="125"/>
  <c r="K21" i="125"/>
  <c r="M21" i="125" s="1"/>
  <c r="L21" i="125"/>
  <c r="K23" i="125"/>
  <c r="L23" i="125"/>
  <c r="K25" i="125"/>
  <c r="M25" i="125" s="1"/>
  <c r="L25" i="125"/>
  <c r="L28" i="125"/>
  <c r="K28" i="125"/>
  <c r="L30" i="125"/>
  <c r="K30" i="125"/>
  <c r="L32" i="125"/>
  <c r="K32" i="125"/>
  <c r="K35" i="125"/>
  <c r="L35" i="125"/>
  <c r="K37" i="125"/>
  <c r="L37" i="125"/>
  <c r="K43" i="125"/>
  <c r="L43" i="125"/>
  <c r="L15" i="125"/>
  <c r="K15" i="125"/>
  <c r="L17" i="125"/>
  <c r="K17" i="125"/>
  <c r="M17" i="125" s="1"/>
  <c r="K22" i="125"/>
  <c r="L22" i="125"/>
  <c r="K24" i="125"/>
  <c r="L24" i="125"/>
  <c r="L29" i="125"/>
  <c r="K29" i="125"/>
  <c r="M29" i="125" s="1"/>
  <c r="L31" i="125"/>
  <c r="K31" i="125"/>
  <c r="K36" i="125"/>
  <c r="L36" i="125"/>
  <c r="L38" i="125"/>
  <c r="K38" i="125"/>
  <c r="L39" i="125"/>
  <c r="K39" i="125"/>
  <c r="K42" i="125"/>
  <c r="K45" i="125"/>
  <c r="L45" i="125"/>
  <c r="L50" i="125"/>
  <c r="K50" i="125"/>
  <c r="M50" i="125" s="1"/>
  <c r="L52" i="125"/>
  <c r="K52" i="125"/>
  <c r="M52" i="125" s="1"/>
  <c r="K57" i="125"/>
  <c r="L57" i="125"/>
  <c r="K59" i="125"/>
  <c r="L59" i="125"/>
  <c r="M59" i="125" s="1"/>
  <c r="M38" i="125"/>
  <c r="M39" i="125"/>
  <c r="L42" i="125"/>
  <c r="M42" i="125" s="1"/>
  <c r="K44" i="125"/>
  <c r="L44" i="125"/>
  <c r="K46" i="125"/>
  <c r="M46" i="125" s="1"/>
  <c r="L46" i="125"/>
  <c r="L49" i="125"/>
  <c r="K49" i="125"/>
  <c r="L51" i="125"/>
  <c r="K51" i="125"/>
  <c r="L53" i="125"/>
  <c r="K53" i="125"/>
  <c r="K56" i="125"/>
  <c r="L56" i="125"/>
  <c r="K58" i="125"/>
  <c r="L58" i="125"/>
  <c r="K60" i="125"/>
  <c r="L60" i="125"/>
  <c r="E135" i="126" l="1"/>
  <c r="B118" i="126"/>
  <c r="C119" i="126" s="1"/>
  <c r="H121" i="126" s="1"/>
  <c r="B101" i="126"/>
  <c r="C109" i="126" s="1"/>
  <c r="B124" i="126"/>
  <c r="C123" i="126" s="1"/>
  <c r="H124" i="126" s="1"/>
  <c r="B107" i="126"/>
  <c r="B103" i="126"/>
  <c r="C102" i="126" s="1"/>
  <c r="I15" i="126"/>
  <c r="E137" i="126" s="1"/>
  <c r="H139" i="126" s="1"/>
  <c r="I35" i="126"/>
  <c r="I37" i="126"/>
  <c r="I36" i="126"/>
  <c r="H136" i="126"/>
  <c r="M180" i="125"/>
  <c r="M58" i="125"/>
  <c r="M53" i="125"/>
  <c r="M51" i="125"/>
  <c r="M37" i="125"/>
  <c r="M60" i="125"/>
  <c r="M56" i="125"/>
  <c r="M49" i="125"/>
  <c r="M44" i="125"/>
  <c r="M57" i="125"/>
  <c r="M45" i="125"/>
  <c r="M36" i="125"/>
  <c r="M43" i="125"/>
  <c r="M35" i="125"/>
  <c r="M22" i="125"/>
  <c r="M32" i="125"/>
  <c r="M30" i="125"/>
  <c r="M18" i="125"/>
  <c r="M16" i="125"/>
  <c r="M14" i="125"/>
  <c r="M31" i="125"/>
  <c r="I31" i="125" s="1"/>
  <c r="M28" i="125"/>
  <c r="M24" i="125"/>
  <c r="M23" i="125"/>
  <c r="M15" i="125"/>
  <c r="I60" i="125"/>
  <c r="I59" i="125"/>
  <c r="I58" i="125"/>
  <c r="I57" i="125"/>
  <c r="I56" i="125"/>
  <c r="I53" i="125"/>
  <c r="I52" i="125"/>
  <c r="I51" i="125"/>
  <c r="I50" i="125"/>
  <c r="I49" i="125"/>
  <c r="I46" i="125"/>
  <c r="I45" i="125"/>
  <c r="I44" i="125"/>
  <c r="I43" i="125"/>
  <c r="I42" i="125"/>
  <c r="I29" i="125"/>
  <c r="I22" i="125"/>
  <c r="I39" i="125"/>
  <c r="I38" i="125"/>
  <c r="I37" i="125"/>
  <c r="I36" i="125"/>
  <c r="I35" i="125"/>
  <c r="I28" i="125"/>
  <c r="I30" i="125"/>
  <c r="I23" i="125"/>
  <c r="I16" i="125"/>
  <c r="I17" i="125"/>
  <c r="I14" i="125"/>
  <c r="I32" i="125"/>
  <c r="I21" i="125"/>
  <c r="I9" i="125"/>
  <c r="I7" i="125"/>
  <c r="I10" i="125"/>
  <c r="I8" i="125"/>
  <c r="G65" i="1"/>
  <c r="E121" i="123"/>
  <c r="E119" i="123"/>
  <c r="E115" i="123"/>
  <c r="H114" i="123" s="1"/>
  <c r="E113" i="123"/>
  <c r="H117" i="123" s="1"/>
  <c r="E109" i="123"/>
  <c r="E107" i="123"/>
  <c r="E103" i="123"/>
  <c r="H102" i="123" s="1"/>
  <c r="E101" i="123"/>
  <c r="H105" i="123" s="1"/>
  <c r="H123" i="123"/>
  <c r="H120" i="123"/>
  <c r="A4" i="123"/>
  <c r="A2" i="123"/>
  <c r="F1" i="123"/>
  <c r="B178" i="125" l="1"/>
  <c r="I25" i="125"/>
  <c r="B105" i="126"/>
  <c r="C106" i="126"/>
  <c r="H107" i="126" s="1"/>
  <c r="C111" i="126"/>
  <c r="H110" i="126" s="1"/>
  <c r="B122" i="126"/>
  <c r="C128" i="126" s="1"/>
  <c r="H130" i="126" s="1"/>
  <c r="B120" i="126"/>
  <c r="C126" i="126" s="1"/>
  <c r="H127" i="126" s="1"/>
  <c r="I24" i="125"/>
  <c r="I15" i="125"/>
  <c r="B180" i="125" s="1"/>
  <c r="I18" i="125"/>
  <c r="B153" i="125"/>
  <c r="B115" i="125"/>
  <c r="C128" i="125" s="1"/>
  <c r="E127" i="125" s="1"/>
  <c r="B151" i="125"/>
  <c r="C152" i="125" s="1"/>
  <c r="B149" i="125"/>
  <c r="B147" i="125"/>
  <c r="B145" i="125"/>
  <c r="C144" i="125" s="1"/>
  <c r="E142" i="125" s="1"/>
  <c r="H151" i="125" s="1"/>
  <c r="B143" i="125"/>
  <c r="C162" i="125" s="1"/>
  <c r="E161" i="125" s="1"/>
  <c r="H163" i="125" s="1"/>
  <c r="B141" i="125"/>
  <c r="B139" i="125"/>
  <c r="B113" i="125"/>
  <c r="C114" i="125" s="1"/>
  <c r="B111" i="125"/>
  <c r="C110" i="125" s="1"/>
  <c r="B109" i="125"/>
  <c r="C126" i="125" s="1"/>
  <c r="E132" i="125" s="1"/>
  <c r="B107" i="125"/>
  <c r="B105" i="125"/>
  <c r="C106" i="125" s="1"/>
  <c r="E104" i="125" s="1"/>
  <c r="B103" i="125"/>
  <c r="B101" i="125"/>
  <c r="L72" i="1"/>
  <c r="E118" i="125" l="1"/>
  <c r="B179" i="125"/>
  <c r="B181" i="125"/>
  <c r="H113" i="126"/>
  <c r="H104" i="126"/>
  <c r="C102" i="125"/>
  <c r="E116" i="125" s="1"/>
  <c r="H120" i="125" s="1"/>
  <c r="C124" i="125"/>
  <c r="E130" i="125" s="1"/>
  <c r="H131" i="125" s="1"/>
  <c r="C140" i="125"/>
  <c r="E154" i="125" s="1"/>
  <c r="C164" i="125"/>
  <c r="E170" i="125" s="1"/>
  <c r="H172" i="125" s="1"/>
  <c r="C166" i="125"/>
  <c r="E165" i="125" s="1"/>
  <c r="H166" i="125" s="1"/>
  <c r="C122" i="125"/>
  <c r="E123" i="125" s="1"/>
  <c r="H125" i="125" s="1"/>
  <c r="H134" i="125"/>
  <c r="E112" i="125"/>
  <c r="H113" i="125" s="1"/>
  <c r="C160" i="125"/>
  <c r="E168" i="125" s="1"/>
  <c r="H169" i="125" s="1"/>
  <c r="C148" i="125"/>
  <c r="E150" i="125" s="1"/>
  <c r="H146" i="125" s="1"/>
  <c r="H128" i="125"/>
  <c r="R53" i="88"/>
  <c r="R58" i="88"/>
  <c r="A58" i="88"/>
  <c r="B58" i="88"/>
  <c r="E74" i="1"/>
  <c r="H117" i="125" l="1"/>
  <c r="B309" i="126"/>
  <c r="B305" i="126"/>
  <c r="B301" i="126"/>
  <c r="B306" i="126"/>
  <c r="B302" i="126"/>
  <c r="B307" i="126"/>
  <c r="B303" i="126"/>
  <c r="B308" i="126"/>
  <c r="B304" i="126"/>
  <c r="B300" i="126"/>
  <c r="H108" i="125"/>
  <c r="E156" i="125"/>
  <c r="H155" i="125" s="1"/>
  <c r="Z9" i="64" l="1"/>
  <c r="Z11" i="64"/>
  <c r="Z13" i="64"/>
  <c r="Z15" i="64"/>
  <c r="Z17" i="64"/>
  <c r="Z19" i="64"/>
  <c r="Z21" i="64"/>
  <c r="Z23" i="64"/>
  <c r="Z25" i="64"/>
  <c r="Z27" i="64"/>
  <c r="Z29" i="64"/>
  <c r="Z31" i="64"/>
  <c r="Z33" i="64"/>
  <c r="Z35" i="64"/>
  <c r="Z37" i="64"/>
  <c r="Z39" i="64"/>
  <c r="Z10" i="64"/>
  <c r="Z12" i="64"/>
  <c r="Z14" i="64"/>
  <c r="Z16" i="64"/>
  <c r="Z18" i="64"/>
  <c r="Z20" i="64"/>
  <c r="Z22" i="64"/>
  <c r="Z24" i="64"/>
  <c r="Z26" i="64"/>
  <c r="Z28" i="64"/>
  <c r="Z30" i="64"/>
  <c r="Z32" i="64"/>
  <c r="Z34" i="64"/>
  <c r="Z36" i="64"/>
  <c r="Z38" i="64"/>
  <c r="Z40" i="64"/>
  <c r="Z42" i="64"/>
  <c r="Z44" i="64"/>
  <c r="Z46" i="64"/>
  <c r="Z48" i="64"/>
  <c r="Z50" i="64"/>
  <c r="Z52" i="64"/>
  <c r="Z43" i="64"/>
  <c r="Z45" i="64"/>
  <c r="Z47" i="64"/>
  <c r="Z49" i="64"/>
  <c r="Z51" i="64"/>
  <c r="Z53" i="64"/>
  <c r="H158" i="125"/>
  <c r="B312" i="125" s="1"/>
  <c r="Z8" i="64"/>
  <c r="B308" i="125"/>
  <c r="B304" i="125"/>
  <c r="B300" i="125"/>
  <c r="B309" i="125"/>
  <c r="B305" i="125"/>
  <c r="B301" i="125"/>
  <c r="B310" i="125"/>
  <c r="B306" i="125"/>
  <c r="B302" i="125"/>
  <c r="B311" i="125"/>
  <c r="B307" i="125"/>
  <c r="B303" i="125"/>
  <c r="H108" i="123"/>
  <c r="B302" i="123" s="1"/>
  <c r="H111" i="123"/>
  <c r="B300" i="123"/>
  <c r="B301" i="123"/>
  <c r="X34" i="64" l="1"/>
  <c r="X15" i="64"/>
  <c r="X17" i="64"/>
  <c r="X29" i="64"/>
  <c r="X35" i="64"/>
  <c r="Y10" i="64"/>
  <c r="Y12" i="64"/>
  <c r="Y14" i="64"/>
  <c r="Y20" i="64"/>
  <c r="Y22" i="64"/>
  <c r="Y24" i="64"/>
  <c r="Y26" i="64"/>
  <c r="Y9" i="64"/>
  <c r="Y11" i="64"/>
  <c r="Y13" i="64"/>
  <c r="Y15" i="64"/>
  <c r="Y17" i="64"/>
  <c r="B315" i="125"/>
  <c r="B314" i="125"/>
  <c r="B313" i="125"/>
  <c r="B304" i="123"/>
  <c r="B305" i="123"/>
  <c r="X8" i="64"/>
  <c r="B303" i="123"/>
  <c r="X16" i="64" s="1"/>
  <c r="B307" i="123"/>
  <c r="B306" i="123"/>
  <c r="X52" i="64" l="1"/>
  <c r="X49" i="64"/>
  <c r="X45" i="64"/>
  <c r="X37" i="64"/>
  <c r="X33" i="64"/>
  <c r="X25" i="64"/>
  <c r="X21" i="64"/>
  <c r="X18" i="64"/>
  <c r="X13" i="64"/>
  <c r="X11" i="64"/>
  <c r="X9" i="64"/>
  <c r="X53" i="64"/>
  <c r="X48" i="64"/>
  <c r="X44" i="64"/>
  <c r="X40" i="64"/>
  <c r="X36" i="64"/>
  <c r="X32" i="64"/>
  <c r="X28" i="64"/>
  <c r="X24" i="64"/>
  <c r="X20" i="64"/>
  <c r="X51" i="64"/>
  <c r="X47" i="64"/>
  <c r="X43" i="64"/>
  <c r="X39" i="64"/>
  <c r="X31" i="64"/>
  <c r="X27" i="64"/>
  <c r="X23" i="64"/>
  <c r="X19" i="64"/>
  <c r="X14" i="64"/>
  <c r="X12" i="64"/>
  <c r="X10" i="64"/>
  <c r="X50" i="64"/>
  <c r="X46" i="64"/>
  <c r="X42" i="64"/>
  <c r="X38" i="64"/>
  <c r="X30" i="64"/>
  <c r="X26" i="64"/>
  <c r="X22" i="64"/>
  <c r="Y49" i="64"/>
  <c r="Y43" i="64"/>
  <c r="Y21" i="64"/>
  <c r="K86" i="1"/>
  <c r="M86" i="1"/>
  <c r="K85" i="1"/>
  <c r="K83" i="1"/>
  <c r="E65" i="1"/>
  <c r="R66" i="88" l="1"/>
  <c r="M53" i="64" l="1"/>
  <c r="B53" i="64"/>
  <c r="A53" i="64" s="1"/>
  <c r="D53" i="64"/>
  <c r="C53" i="64" s="1"/>
  <c r="A4" i="120" l="1"/>
  <c r="A2" i="120"/>
  <c r="H60" i="120"/>
  <c r="J60" i="120" s="1"/>
  <c r="H59" i="120"/>
  <c r="J59" i="120" s="1"/>
  <c r="H58" i="120"/>
  <c r="J58" i="120" s="1"/>
  <c r="H57" i="120"/>
  <c r="J57" i="120" s="1"/>
  <c r="H56" i="120"/>
  <c r="J56" i="120" s="1"/>
  <c r="M55" i="120"/>
  <c r="H53" i="120"/>
  <c r="J53" i="120" s="1"/>
  <c r="H52" i="120"/>
  <c r="J52" i="120" s="1"/>
  <c r="H51" i="120"/>
  <c r="J51" i="120" s="1"/>
  <c r="H50" i="120"/>
  <c r="J50" i="120" s="1"/>
  <c r="H49" i="120"/>
  <c r="J49" i="120" s="1"/>
  <c r="M48" i="120"/>
  <c r="H46" i="120"/>
  <c r="J46" i="120" s="1"/>
  <c r="H45" i="120"/>
  <c r="J45" i="120" s="1"/>
  <c r="H44" i="120"/>
  <c r="J44" i="120" s="1"/>
  <c r="H43" i="120"/>
  <c r="J43" i="120" s="1"/>
  <c r="H42" i="120"/>
  <c r="J42" i="120" s="1"/>
  <c r="M41" i="120"/>
  <c r="H39" i="120"/>
  <c r="J39" i="120" s="1"/>
  <c r="H38" i="120"/>
  <c r="J38" i="120" s="1"/>
  <c r="H37" i="120"/>
  <c r="J37" i="120" s="1"/>
  <c r="H36" i="120"/>
  <c r="J36" i="120" s="1"/>
  <c r="H35" i="120"/>
  <c r="J35" i="120" s="1"/>
  <c r="M34" i="120"/>
  <c r="H32" i="120"/>
  <c r="J32" i="120" s="1"/>
  <c r="H31" i="120"/>
  <c r="J31" i="120" s="1"/>
  <c r="H30" i="120"/>
  <c r="J30" i="120" s="1"/>
  <c r="H29" i="120"/>
  <c r="J29" i="120" s="1"/>
  <c r="H28" i="120"/>
  <c r="J28" i="120" s="1"/>
  <c r="M27" i="120"/>
  <c r="H25" i="120"/>
  <c r="J25" i="120" s="1"/>
  <c r="H24" i="120"/>
  <c r="J24" i="120" s="1"/>
  <c r="H23" i="120"/>
  <c r="J23" i="120" s="1"/>
  <c r="H22" i="120"/>
  <c r="J22" i="120" s="1"/>
  <c r="H21" i="120"/>
  <c r="J21" i="120" s="1"/>
  <c r="M20" i="120"/>
  <c r="H18" i="120"/>
  <c r="J18" i="120" s="1"/>
  <c r="H17" i="120"/>
  <c r="J17" i="120" s="1"/>
  <c r="H16" i="120"/>
  <c r="J16" i="120" s="1"/>
  <c r="H15" i="120"/>
  <c r="J15" i="120" s="1"/>
  <c r="H14" i="120"/>
  <c r="J14" i="120" s="1"/>
  <c r="M13" i="120"/>
  <c r="H11" i="120"/>
  <c r="J11" i="120" s="1"/>
  <c r="H10" i="120"/>
  <c r="J10" i="120" s="1"/>
  <c r="H9" i="120"/>
  <c r="J9" i="120" s="1"/>
  <c r="H8" i="120"/>
  <c r="J8" i="120" s="1"/>
  <c r="H7" i="120"/>
  <c r="J7" i="120" s="1"/>
  <c r="M6" i="120"/>
  <c r="G1" i="120"/>
  <c r="M59" i="1"/>
  <c r="E59" i="1"/>
  <c r="E27" i="1"/>
  <c r="E41" i="1"/>
  <c r="E47" i="1"/>
  <c r="G54" i="1"/>
  <c r="G51" i="1"/>
  <c r="E31" i="87"/>
  <c r="A1" i="120" s="1"/>
  <c r="I25" i="120" l="1"/>
  <c r="I18" i="120"/>
  <c r="I11" i="120"/>
  <c r="K8" i="120"/>
  <c r="M8" i="120" s="1"/>
  <c r="L8" i="120"/>
  <c r="K10" i="120"/>
  <c r="M10" i="120" s="1"/>
  <c r="L10" i="120"/>
  <c r="K15" i="120"/>
  <c r="M15" i="120" s="1"/>
  <c r="K17" i="120"/>
  <c r="M17" i="120" s="1"/>
  <c r="K22" i="120"/>
  <c r="M22" i="120" s="1"/>
  <c r="L22" i="120"/>
  <c r="K24" i="120"/>
  <c r="L24" i="120"/>
  <c r="K31" i="120"/>
  <c r="K36" i="120"/>
  <c r="M36" i="120" s="1"/>
  <c r="L36" i="120"/>
  <c r="K43" i="120"/>
  <c r="M43" i="120" s="1"/>
  <c r="L43" i="120"/>
  <c r="K7" i="120"/>
  <c r="K9" i="120"/>
  <c r="M9" i="120" s="1"/>
  <c r="L9" i="120"/>
  <c r="K11" i="120"/>
  <c r="M11" i="120" s="1"/>
  <c r="L11" i="120"/>
  <c r="K14" i="120"/>
  <c r="M14" i="120" s="1"/>
  <c r="K16" i="120"/>
  <c r="M16" i="120" s="1"/>
  <c r="L18" i="120"/>
  <c r="K18" i="120"/>
  <c r="M18" i="120" s="1"/>
  <c r="K21" i="120"/>
  <c r="K23" i="120"/>
  <c r="L23" i="120"/>
  <c r="K25" i="120"/>
  <c r="M25" i="120" s="1"/>
  <c r="L25" i="120"/>
  <c r="K30" i="120"/>
  <c r="L32" i="120"/>
  <c r="K32" i="120"/>
  <c r="K35" i="120"/>
  <c r="M35" i="120" s="1"/>
  <c r="L35" i="120"/>
  <c r="K37" i="120"/>
  <c r="L37" i="120"/>
  <c r="M37" i="120" s="1"/>
  <c r="K42" i="120"/>
  <c r="M42" i="120" s="1"/>
  <c r="L42" i="120"/>
  <c r="L38" i="120"/>
  <c r="K38" i="120"/>
  <c r="L39" i="120"/>
  <c r="K39" i="120"/>
  <c r="K45" i="120"/>
  <c r="L45" i="120"/>
  <c r="M45" i="120" s="1"/>
  <c r="L50" i="120"/>
  <c r="M50" i="120"/>
  <c r="K50" i="120"/>
  <c r="L52" i="120"/>
  <c r="K52" i="120"/>
  <c r="M52" i="120" s="1"/>
  <c r="K57" i="120"/>
  <c r="M57" i="120" s="1"/>
  <c r="L57" i="120"/>
  <c r="K59" i="120"/>
  <c r="L59" i="120"/>
  <c r="M59" i="120" s="1"/>
  <c r="M38" i="120"/>
  <c r="K44" i="120"/>
  <c r="L44" i="120"/>
  <c r="M44" i="120" s="1"/>
  <c r="K46" i="120"/>
  <c r="M46" i="120" s="1"/>
  <c r="L46" i="120"/>
  <c r="L49" i="120"/>
  <c r="K49" i="120"/>
  <c r="M49" i="120" s="1"/>
  <c r="L51" i="120"/>
  <c r="M51" i="120"/>
  <c r="K51" i="120"/>
  <c r="L53" i="120"/>
  <c r="K53" i="120"/>
  <c r="M53" i="120" s="1"/>
  <c r="K56" i="120"/>
  <c r="M56" i="120" s="1"/>
  <c r="L56" i="120"/>
  <c r="K58" i="120"/>
  <c r="L58" i="120"/>
  <c r="M58" i="120" s="1"/>
  <c r="K60" i="120"/>
  <c r="M60" i="120" s="1"/>
  <c r="L60" i="120"/>
  <c r="R59" i="88"/>
  <c r="A59" i="88"/>
  <c r="B59" i="88"/>
  <c r="R60" i="88"/>
  <c r="E30" i="87"/>
  <c r="A1" i="140" s="1"/>
  <c r="I45" i="120" l="1"/>
  <c r="I43" i="120"/>
  <c r="I46" i="120"/>
  <c r="I44" i="120"/>
  <c r="I42" i="120"/>
  <c r="I39" i="120"/>
  <c r="I37" i="120"/>
  <c r="I35" i="120"/>
  <c r="I38" i="120"/>
  <c r="I36" i="120"/>
  <c r="I14" i="120"/>
  <c r="I59" i="120"/>
  <c r="I57" i="120"/>
  <c r="I60" i="120"/>
  <c r="I58" i="120"/>
  <c r="I56" i="120"/>
  <c r="I53" i="120"/>
  <c r="I51" i="120"/>
  <c r="I49" i="120"/>
  <c r="I52" i="120"/>
  <c r="I50" i="120"/>
  <c r="I16" i="120"/>
  <c r="I15" i="120"/>
  <c r="I17" i="120"/>
  <c r="M32" i="120"/>
  <c r="M30" i="120"/>
  <c r="M28" i="120"/>
  <c r="M31" i="120"/>
  <c r="M29" i="120"/>
  <c r="I29" i="120" s="1"/>
  <c r="M21" i="120"/>
  <c r="M24" i="120"/>
  <c r="M23" i="120"/>
  <c r="M7" i="120"/>
  <c r="I7" i="120" s="1"/>
  <c r="M39" i="120"/>
  <c r="M54" i="1"/>
  <c r="I24" i="120" l="1"/>
  <c r="I22" i="120"/>
  <c r="I23" i="120"/>
  <c r="I21" i="120"/>
  <c r="I31" i="120"/>
  <c r="I30" i="120"/>
  <c r="I28" i="120"/>
  <c r="I32" i="120"/>
  <c r="I8" i="120"/>
  <c r="I10" i="120"/>
  <c r="I9" i="120"/>
  <c r="B153" i="120" s="1"/>
  <c r="C166" i="120" s="1"/>
  <c r="B115" i="120"/>
  <c r="B151" i="120"/>
  <c r="C152" i="120" s="1"/>
  <c r="E156" i="120" s="1"/>
  <c r="H155" i="120" s="1"/>
  <c r="B149" i="120"/>
  <c r="C148" i="120" s="1"/>
  <c r="E150" i="120" s="1"/>
  <c r="B147" i="120"/>
  <c r="C164" i="120" s="1"/>
  <c r="B145" i="120"/>
  <c r="B143" i="120"/>
  <c r="C162" i="120" s="1"/>
  <c r="B141" i="120"/>
  <c r="C160" i="120" s="1"/>
  <c r="B139" i="120"/>
  <c r="C140" i="120" s="1"/>
  <c r="E154" i="120" s="1"/>
  <c r="H158" i="120" s="1"/>
  <c r="B113" i="120"/>
  <c r="B111" i="120"/>
  <c r="B109" i="120"/>
  <c r="C126" i="120" s="1"/>
  <c r="E132" i="120" s="1"/>
  <c r="B107" i="120"/>
  <c r="B105" i="120"/>
  <c r="B103" i="120"/>
  <c r="B101" i="120"/>
  <c r="C122" i="120" s="1"/>
  <c r="V8" i="64"/>
  <c r="B124" i="118"/>
  <c r="B122" i="118"/>
  <c r="B120" i="118"/>
  <c r="B118" i="118"/>
  <c r="B107" i="118"/>
  <c r="B105" i="118"/>
  <c r="B103" i="118"/>
  <c r="B101" i="118"/>
  <c r="A4" i="118"/>
  <c r="A2" i="118"/>
  <c r="V16" i="118"/>
  <c r="W16" i="118" s="1"/>
  <c r="T16" i="118"/>
  <c r="U16" i="118" s="1"/>
  <c r="R16" i="118"/>
  <c r="P16" i="118"/>
  <c r="N16" i="118"/>
  <c r="G16" i="118"/>
  <c r="V15" i="118"/>
  <c r="W15" i="118" s="1"/>
  <c r="T15" i="118"/>
  <c r="U15" i="118" s="1"/>
  <c r="R15" i="118"/>
  <c r="P15" i="118"/>
  <c r="N15" i="118"/>
  <c r="G15" i="118"/>
  <c r="V14" i="118"/>
  <c r="W14" i="118" s="1"/>
  <c r="T14" i="118"/>
  <c r="U14" i="118" s="1"/>
  <c r="R14" i="118"/>
  <c r="P14" i="118"/>
  <c r="N14" i="118"/>
  <c r="G14" i="118"/>
  <c r="V13" i="118"/>
  <c r="W13" i="118" s="1"/>
  <c r="T13" i="118"/>
  <c r="U13" i="118" s="1"/>
  <c r="R13" i="118"/>
  <c r="P13" i="118"/>
  <c r="N13" i="118"/>
  <c r="G13" i="118"/>
  <c r="O12" i="118"/>
  <c r="O11" i="118"/>
  <c r="V10" i="118"/>
  <c r="T10" i="118"/>
  <c r="R10" i="118"/>
  <c r="S10" i="118" s="1"/>
  <c r="P10" i="118"/>
  <c r="N10" i="118"/>
  <c r="G10" i="118"/>
  <c r="V9" i="118"/>
  <c r="W9" i="118" s="1"/>
  <c r="T9" i="118"/>
  <c r="U9" i="118" s="1"/>
  <c r="R9" i="118"/>
  <c r="P9" i="118"/>
  <c r="N9" i="118"/>
  <c r="G9" i="118"/>
  <c r="V8" i="118"/>
  <c r="W8" i="118" s="1"/>
  <c r="T8" i="118"/>
  <c r="U8" i="118" s="1"/>
  <c r="R8" i="118"/>
  <c r="P8" i="118"/>
  <c r="N8" i="118"/>
  <c r="G8" i="118"/>
  <c r="V7" i="118"/>
  <c r="W7" i="118" s="1"/>
  <c r="T7" i="118"/>
  <c r="U7" i="118" s="1"/>
  <c r="R7" i="118"/>
  <c r="P7" i="118"/>
  <c r="N7" i="118"/>
  <c r="G7" i="118"/>
  <c r="C123" i="118" s="1"/>
  <c r="C1" i="118"/>
  <c r="E170" i="120" l="1"/>
  <c r="C102" i="120"/>
  <c r="C124" i="120"/>
  <c r="E130" i="120" s="1"/>
  <c r="H131" i="120" s="1"/>
  <c r="C106" i="120"/>
  <c r="E116" i="120" s="1"/>
  <c r="C110" i="120"/>
  <c r="E118" i="120" s="1"/>
  <c r="E165" i="120"/>
  <c r="E123" i="120"/>
  <c r="E104" i="120"/>
  <c r="H108" i="120" s="1"/>
  <c r="H134" i="120"/>
  <c r="E168" i="120"/>
  <c r="C144" i="120"/>
  <c r="C128" i="120"/>
  <c r="E127" i="120" s="1"/>
  <c r="H128" i="120" s="1"/>
  <c r="C114" i="120"/>
  <c r="E112" i="120" s="1"/>
  <c r="H113" i="120" s="1"/>
  <c r="E161" i="120"/>
  <c r="H163" i="120" s="1"/>
  <c r="B300" i="120"/>
  <c r="C102" i="118"/>
  <c r="C106" i="118"/>
  <c r="H104" i="118" s="1"/>
  <c r="C119" i="118"/>
  <c r="H124" i="118" s="1"/>
  <c r="C128" i="118"/>
  <c r="H130" i="118" s="1"/>
  <c r="C109" i="118"/>
  <c r="H113" i="118" s="1"/>
  <c r="C111" i="118"/>
  <c r="H110" i="118" s="1"/>
  <c r="C126" i="118"/>
  <c r="H127" i="118" s="1"/>
  <c r="B300" i="118"/>
  <c r="L70" i="1"/>
  <c r="W9" i="64" l="1"/>
  <c r="H120" i="120"/>
  <c r="H117" i="120"/>
  <c r="B302" i="120"/>
  <c r="B303" i="120"/>
  <c r="B301" i="120"/>
  <c r="W10" i="64" s="1"/>
  <c r="H125" i="120"/>
  <c r="H151" i="120"/>
  <c r="E142" i="120"/>
  <c r="H146" i="120" s="1"/>
  <c r="H166" i="120"/>
  <c r="H107" i="118"/>
  <c r="H121" i="118"/>
  <c r="W11" i="64" l="1"/>
  <c r="W12" i="64"/>
  <c r="B312" i="120"/>
  <c r="B308" i="120"/>
  <c r="B307" i="120"/>
  <c r="B310" i="120"/>
  <c r="B309" i="120"/>
  <c r="B311" i="120"/>
  <c r="B306" i="120"/>
  <c r="B305" i="120"/>
  <c r="B304" i="120"/>
  <c r="B314" i="120"/>
  <c r="B313" i="120"/>
  <c r="B301" i="118"/>
  <c r="B305" i="118"/>
  <c r="B304" i="118"/>
  <c r="B303" i="118"/>
  <c r="B307" i="118"/>
  <c r="B302" i="118"/>
  <c r="B306" i="118"/>
  <c r="W18" i="64" l="1"/>
  <c r="W26" i="64"/>
  <c r="W34" i="64"/>
  <c r="W13" i="64"/>
  <c r="W21" i="64"/>
  <c r="W29" i="64"/>
  <c r="W37" i="64"/>
  <c r="W43" i="64"/>
  <c r="W51" i="64"/>
  <c r="W46" i="64"/>
  <c r="W20" i="64"/>
  <c r="W28" i="64"/>
  <c r="W36" i="64"/>
  <c r="W19" i="64"/>
  <c r="W27" i="64"/>
  <c r="W35" i="64"/>
  <c r="W42" i="64"/>
  <c r="W49" i="64"/>
  <c r="W44" i="64"/>
  <c r="W52" i="64"/>
  <c r="W14" i="64"/>
  <c r="W22" i="64"/>
  <c r="W30" i="64"/>
  <c r="W38" i="64"/>
  <c r="W17" i="64"/>
  <c r="W25" i="64"/>
  <c r="W33" i="64"/>
  <c r="W47" i="64"/>
  <c r="W50" i="64"/>
  <c r="W8" i="64"/>
  <c r="W16" i="64"/>
  <c r="W24" i="64"/>
  <c r="W32" i="64"/>
  <c r="W40" i="64"/>
  <c r="W15" i="64"/>
  <c r="W23" i="64"/>
  <c r="W31" i="64"/>
  <c r="W39" i="64"/>
  <c r="W45" i="64"/>
  <c r="W53" i="64"/>
  <c r="W48" i="64"/>
  <c r="B311" i="118"/>
  <c r="B310" i="118"/>
  <c r="B312" i="118"/>
  <c r="B309" i="118"/>
  <c r="B308" i="118"/>
  <c r="M51" i="64"/>
  <c r="M52" i="64"/>
  <c r="B52" i="64"/>
  <c r="A52" i="64" s="1"/>
  <c r="D52" i="64"/>
  <c r="C52" i="64" s="1"/>
  <c r="B51" i="64"/>
  <c r="A51" i="64" s="1"/>
  <c r="D51" i="64"/>
  <c r="C51" i="64" s="1"/>
  <c r="H145" i="117"/>
  <c r="J145" i="117" s="1"/>
  <c r="H144" i="117"/>
  <c r="J144" i="117" s="1"/>
  <c r="H143" i="117"/>
  <c r="J143" i="117" s="1"/>
  <c r="H142" i="117"/>
  <c r="J142" i="117" s="1"/>
  <c r="H141" i="117"/>
  <c r="J141" i="117" s="1"/>
  <c r="M140" i="117"/>
  <c r="I145" i="117" s="1"/>
  <c r="C111" i="117"/>
  <c r="C107" i="117"/>
  <c r="A4" i="117"/>
  <c r="A2" i="117"/>
  <c r="H60" i="117"/>
  <c r="J60" i="117" s="1"/>
  <c r="H59" i="117"/>
  <c r="J59" i="117" s="1"/>
  <c r="H58" i="117"/>
  <c r="J58" i="117" s="1"/>
  <c r="H57" i="117"/>
  <c r="J57" i="117" s="1"/>
  <c r="H56" i="117"/>
  <c r="J56" i="117" s="1"/>
  <c r="M55" i="117"/>
  <c r="H53" i="117"/>
  <c r="J53" i="117" s="1"/>
  <c r="H52" i="117"/>
  <c r="J52" i="117" s="1"/>
  <c r="H51" i="117"/>
  <c r="J51" i="117" s="1"/>
  <c r="H50" i="117"/>
  <c r="J50" i="117" s="1"/>
  <c r="H49" i="117"/>
  <c r="J49" i="117" s="1"/>
  <c r="M48" i="117"/>
  <c r="H46" i="117"/>
  <c r="J46" i="117" s="1"/>
  <c r="H45" i="117"/>
  <c r="J45" i="117" s="1"/>
  <c r="H44" i="117"/>
  <c r="J44" i="117" s="1"/>
  <c r="H43" i="117"/>
  <c r="J43" i="117" s="1"/>
  <c r="H42" i="117"/>
  <c r="J42" i="117" s="1"/>
  <c r="M41" i="117"/>
  <c r="H39" i="117"/>
  <c r="J39" i="117" s="1"/>
  <c r="H38" i="117"/>
  <c r="J38" i="117" s="1"/>
  <c r="H37" i="117"/>
  <c r="J37" i="117" s="1"/>
  <c r="H36" i="117"/>
  <c r="J36" i="117" s="1"/>
  <c r="H35" i="117"/>
  <c r="J35" i="117" s="1"/>
  <c r="M34" i="117"/>
  <c r="H32" i="117"/>
  <c r="J32" i="117" s="1"/>
  <c r="H31" i="117"/>
  <c r="J31" i="117" s="1"/>
  <c r="H30" i="117"/>
  <c r="J30" i="117" s="1"/>
  <c r="H29" i="117"/>
  <c r="J29" i="117" s="1"/>
  <c r="H28" i="117"/>
  <c r="J28" i="117" s="1"/>
  <c r="M27" i="117"/>
  <c r="H25" i="117"/>
  <c r="J25" i="117" s="1"/>
  <c r="H24" i="117"/>
  <c r="J24" i="117" s="1"/>
  <c r="H23" i="117"/>
  <c r="J23" i="117" s="1"/>
  <c r="H22" i="117"/>
  <c r="J22" i="117" s="1"/>
  <c r="H21" i="117"/>
  <c r="J21" i="117" s="1"/>
  <c r="M20" i="117"/>
  <c r="I25" i="117" s="1"/>
  <c r="H18" i="117"/>
  <c r="J18" i="117" s="1"/>
  <c r="H17" i="117"/>
  <c r="J17" i="117" s="1"/>
  <c r="H16" i="117"/>
  <c r="J16" i="117" s="1"/>
  <c r="H15" i="117"/>
  <c r="J15" i="117" s="1"/>
  <c r="H14" i="117"/>
  <c r="J14" i="117" s="1"/>
  <c r="M13" i="117"/>
  <c r="I18" i="117" s="1"/>
  <c r="H11" i="117"/>
  <c r="J11" i="117" s="1"/>
  <c r="H10" i="117"/>
  <c r="J10" i="117" s="1"/>
  <c r="H9" i="117"/>
  <c r="J9" i="117" s="1"/>
  <c r="H8" i="117"/>
  <c r="J8" i="117" s="1"/>
  <c r="H7" i="117"/>
  <c r="J7" i="117" s="1"/>
  <c r="M6" i="117"/>
  <c r="I11" i="117" s="1"/>
  <c r="E1" i="117"/>
  <c r="K142" i="117" l="1"/>
  <c r="L142" i="117"/>
  <c r="K144" i="117"/>
  <c r="L144" i="117"/>
  <c r="K141" i="117"/>
  <c r="L141" i="117"/>
  <c r="K143" i="117"/>
  <c r="L143" i="117"/>
  <c r="K145" i="117"/>
  <c r="L145" i="117"/>
  <c r="I144" i="117"/>
  <c r="K7" i="117"/>
  <c r="L7" i="117"/>
  <c r="K8" i="117"/>
  <c r="M8" i="117" s="1"/>
  <c r="L8" i="117"/>
  <c r="K10" i="117"/>
  <c r="M10" i="117" s="1"/>
  <c r="L10" i="117"/>
  <c r="L15" i="117"/>
  <c r="K15" i="117"/>
  <c r="L17" i="117"/>
  <c r="K17" i="117"/>
  <c r="K22" i="117"/>
  <c r="M22" i="117" s="1"/>
  <c r="L22" i="117"/>
  <c r="K24" i="117"/>
  <c r="M24" i="117" s="1"/>
  <c r="L24" i="117"/>
  <c r="L29" i="117"/>
  <c r="K29" i="117"/>
  <c r="L31" i="117"/>
  <c r="K31" i="117"/>
  <c r="K36" i="117"/>
  <c r="M36" i="117" s="1"/>
  <c r="L36" i="117"/>
  <c r="K43" i="117"/>
  <c r="L43" i="117"/>
  <c r="K9" i="117"/>
  <c r="L9" i="117"/>
  <c r="K11" i="117"/>
  <c r="L11" i="117"/>
  <c r="L14" i="117"/>
  <c r="K14" i="117"/>
  <c r="L16" i="117"/>
  <c r="K16" i="117"/>
  <c r="L18" i="117"/>
  <c r="K18" i="117"/>
  <c r="K21" i="117"/>
  <c r="M21" i="117" s="1"/>
  <c r="L21" i="117"/>
  <c r="K23" i="117"/>
  <c r="M23" i="117" s="1"/>
  <c r="L23" i="117"/>
  <c r="K25" i="117"/>
  <c r="M25" i="117" s="1"/>
  <c r="L25" i="117"/>
  <c r="L28" i="117"/>
  <c r="K28" i="117"/>
  <c r="L30" i="117"/>
  <c r="K30" i="117"/>
  <c r="L32" i="117"/>
  <c r="K32" i="117"/>
  <c r="K35" i="117"/>
  <c r="M35" i="117" s="1"/>
  <c r="L35" i="117"/>
  <c r="K37" i="117"/>
  <c r="L37" i="117"/>
  <c r="K42" i="117"/>
  <c r="M42" i="117" s="1"/>
  <c r="L42" i="117"/>
  <c r="L38" i="117"/>
  <c r="K38" i="117"/>
  <c r="L39" i="117"/>
  <c r="K39" i="117"/>
  <c r="K45" i="117"/>
  <c r="L45" i="117"/>
  <c r="L50" i="117"/>
  <c r="K50" i="117"/>
  <c r="L52" i="117"/>
  <c r="K52" i="117"/>
  <c r="K57" i="117"/>
  <c r="L57" i="117"/>
  <c r="K59" i="117"/>
  <c r="L59" i="117"/>
  <c r="M38" i="117"/>
  <c r="K44" i="117"/>
  <c r="L44" i="117"/>
  <c r="K46" i="117"/>
  <c r="L46" i="117"/>
  <c r="L49" i="117"/>
  <c r="K49" i="117"/>
  <c r="L51" i="117"/>
  <c r="K51" i="117"/>
  <c r="M51" i="117" s="1"/>
  <c r="L53" i="117"/>
  <c r="K53" i="117"/>
  <c r="M53" i="117" s="1"/>
  <c r="K56" i="117"/>
  <c r="L56" i="117"/>
  <c r="K58" i="117"/>
  <c r="L58" i="117"/>
  <c r="M58" i="117" s="1"/>
  <c r="K60" i="117"/>
  <c r="L60" i="117"/>
  <c r="L50" i="1"/>
  <c r="N50" i="1"/>
  <c r="M17" i="117" l="1"/>
  <c r="M145" i="117"/>
  <c r="M143" i="117"/>
  <c r="M141" i="117"/>
  <c r="M144" i="117"/>
  <c r="M142" i="117"/>
  <c r="I143" i="117"/>
  <c r="I142" i="117"/>
  <c r="I141" i="117"/>
  <c r="M18" i="117"/>
  <c r="M16" i="117"/>
  <c r="M14" i="117"/>
  <c r="M15" i="117"/>
  <c r="M7" i="117"/>
  <c r="M11" i="117"/>
  <c r="M9" i="117"/>
  <c r="M46" i="117"/>
  <c r="M59" i="117"/>
  <c r="M52" i="117"/>
  <c r="M50" i="117"/>
  <c r="M60" i="117"/>
  <c r="M56" i="117"/>
  <c r="M49" i="117"/>
  <c r="M44" i="117"/>
  <c r="M57" i="117"/>
  <c r="M45" i="117"/>
  <c r="M37" i="117"/>
  <c r="M32" i="117"/>
  <c r="M30" i="117"/>
  <c r="M28" i="117"/>
  <c r="M43" i="117"/>
  <c r="M31" i="117"/>
  <c r="M29" i="117"/>
  <c r="I39" i="117"/>
  <c r="I38" i="117"/>
  <c r="I37" i="117"/>
  <c r="I36" i="117"/>
  <c r="I35" i="117"/>
  <c r="I60" i="117"/>
  <c r="I59" i="117"/>
  <c r="I58" i="117"/>
  <c r="I57" i="117"/>
  <c r="I56" i="117"/>
  <c r="I53" i="117"/>
  <c r="I52" i="117"/>
  <c r="I51" i="117"/>
  <c r="I50" i="117"/>
  <c r="I49" i="117"/>
  <c r="I32" i="117"/>
  <c r="I23" i="117"/>
  <c r="I21" i="117"/>
  <c r="I9" i="117"/>
  <c r="I24" i="117"/>
  <c r="I22" i="117"/>
  <c r="I15" i="117"/>
  <c r="I46" i="117"/>
  <c r="I45" i="117"/>
  <c r="I44" i="117"/>
  <c r="I43" i="117"/>
  <c r="I42" i="117"/>
  <c r="I28" i="117"/>
  <c r="I30" i="117"/>
  <c r="I16" i="117"/>
  <c r="I14" i="117"/>
  <c r="I17" i="117"/>
  <c r="I31" i="117"/>
  <c r="I29" i="117"/>
  <c r="I10" i="117"/>
  <c r="I8" i="117"/>
  <c r="I7" i="117"/>
  <c r="M39" i="117"/>
  <c r="H156" i="117" l="1"/>
  <c r="H150" i="117"/>
  <c r="H153" i="117"/>
  <c r="B115" i="117"/>
  <c r="B113" i="117"/>
  <c r="B109" i="117"/>
  <c r="B105" i="117"/>
  <c r="B103" i="117"/>
  <c r="B101" i="117"/>
  <c r="W31" i="115"/>
  <c r="Y31" i="115" s="1"/>
  <c r="W30" i="115"/>
  <c r="W29" i="115"/>
  <c r="Y29" i="115" s="1"/>
  <c r="W28" i="115"/>
  <c r="W27" i="115"/>
  <c r="Y27" i="115" s="1"/>
  <c r="W26" i="115"/>
  <c r="W25" i="115"/>
  <c r="Y25" i="115" s="1"/>
  <c r="W24" i="115"/>
  <c r="C122" i="117" l="1"/>
  <c r="C114" i="117"/>
  <c r="C109" i="117"/>
  <c r="C110" i="117" s="1"/>
  <c r="E118" i="117" s="1"/>
  <c r="C102" i="117"/>
  <c r="E116" i="117" s="1"/>
  <c r="C105" i="117"/>
  <c r="E112" i="117"/>
  <c r="H113" i="117" s="1"/>
  <c r="C128" i="117"/>
  <c r="Z30" i="115"/>
  <c r="AA26" i="115"/>
  <c r="Z24" i="115"/>
  <c r="Z28" i="115"/>
  <c r="Y24" i="115"/>
  <c r="AA24" i="115"/>
  <c r="Z26" i="115"/>
  <c r="Y28" i="115"/>
  <c r="AA28" i="115"/>
  <c r="Y30" i="115"/>
  <c r="AA30" i="115"/>
  <c r="Y26" i="115"/>
  <c r="X26" i="115" s="1"/>
  <c r="H120" i="117" l="1"/>
  <c r="C126" i="117"/>
  <c r="E128" i="117" s="1"/>
  <c r="H117" i="117"/>
  <c r="C106" i="117"/>
  <c r="E104" i="117" s="1"/>
  <c r="H108" i="117" s="1"/>
  <c r="C124" i="117"/>
  <c r="E126" i="117"/>
  <c r="X30" i="115"/>
  <c r="X27" i="115"/>
  <c r="X24" i="115"/>
  <c r="X25" i="115"/>
  <c r="X28" i="115"/>
  <c r="X31" i="115"/>
  <c r="X29" i="115"/>
  <c r="E127" i="117" l="1"/>
  <c r="H125" i="117" s="1"/>
  <c r="E124" i="117"/>
  <c r="E122" i="117"/>
  <c r="E132" i="117"/>
  <c r="H134" i="117" s="1"/>
  <c r="B304" i="117"/>
  <c r="B300" i="117"/>
  <c r="B301" i="117"/>
  <c r="B302" i="117"/>
  <c r="B303" i="117"/>
  <c r="B25" i="64"/>
  <c r="A25" i="64" s="1"/>
  <c r="T8" i="64"/>
  <c r="W38" i="115"/>
  <c r="W39" i="115"/>
  <c r="A4" i="115"/>
  <c r="A2" i="115"/>
  <c r="W42" i="115"/>
  <c r="W41" i="115"/>
  <c r="W36" i="115"/>
  <c r="W35" i="115"/>
  <c r="W34" i="115"/>
  <c r="X33" i="115" s="1"/>
  <c r="W33" i="115"/>
  <c r="W16" i="115"/>
  <c r="W15" i="115"/>
  <c r="W14" i="115"/>
  <c r="W13" i="115"/>
  <c r="W12" i="115"/>
  <c r="W11" i="115"/>
  <c r="W10" i="115"/>
  <c r="W9" i="115"/>
  <c r="N1" i="115"/>
  <c r="X38" i="115"/>
  <c r="X41" i="115"/>
  <c r="X42" i="115"/>
  <c r="U10" i="64" l="1"/>
  <c r="U12" i="64"/>
  <c r="U16" i="64"/>
  <c r="U18" i="64"/>
  <c r="U30" i="64"/>
  <c r="U9" i="64"/>
  <c r="U11" i="64"/>
  <c r="U13" i="64"/>
  <c r="U33" i="64"/>
  <c r="E130" i="117"/>
  <c r="H131" i="117" s="1"/>
  <c r="U8" i="64"/>
  <c r="E123" i="117"/>
  <c r="H128" i="117" s="1"/>
  <c r="X35" i="115"/>
  <c r="X16" i="115"/>
  <c r="X15" i="115"/>
  <c r="X14" i="115"/>
  <c r="X13" i="115"/>
  <c r="X12" i="115"/>
  <c r="X11" i="115"/>
  <c r="X10" i="115"/>
  <c r="X9" i="115"/>
  <c r="X34" i="115"/>
  <c r="X36" i="115"/>
  <c r="B316" i="117" l="1"/>
  <c r="B308" i="117"/>
  <c r="B309" i="117"/>
  <c r="B310" i="117"/>
  <c r="B311" i="117"/>
  <c r="B312" i="117"/>
  <c r="B313" i="117"/>
  <c r="B305" i="117"/>
  <c r="B314" i="117"/>
  <c r="B306" i="117"/>
  <c r="B315" i="117"/>
  <c r="B307" i="117"/>
  <c r="U14" i="64" l="1"/>
  <c r="U22" i="64"/>
  <c r="U26" i="64"/>
  <c r="U34" i="64"/>
  <c r="U38" i="64"/>
  <c r="U17" i="64"/>
  <c r="U21" i="64"/>
  <c r="U25" i="64"/>
  <c r="U29" i="64"/>
  <c r="U37" i="64"/>
  <c r="U43" i="64"/>
  <c r="U47" i="64"/>
  <c r="U51" i="64"/>
  <c r="U46" i="64"/>
  <c r="U50" i="64"/>
  <c r="U20" i="64"/>
  <c r="U24" i="64"/>
  <c r="U28" i="64"/>
  <c r="U32" i="64"/>
  <c r="U36" i="64"/>
  <c r="U40" i="64"/>
  <c r="U15" i="64"/>
  <c r="U19" i="64"/>
  <c r="U23" i="64"/>
  <c r="U27" i="64"/>
  <c r="U31" i="64"/>
  <c r="U35" i="64"/>
  <c r="U39" i="64"/>
  <c r="U42" i="64"/>
  <c r="U45" i="64"/>
  <c r="U49" i="64"/>
  <c r="U53" i="64"/>
  <c r="U44" i="64"/>
  <c r="U48" i="64"/>
  <c r="U52" i="64"/>
  <c r="M50" i="1"/>
  <c r="K50" i="1"/>
  <c r="K47" i="1"/>
  <c r="M36" i="1" l="1"/>
  <c r="B80" i="113" l="1"/>
  <c r="A4" i="113"/>
  <c r="A2" i="113"/>
  <c r="C62" i="113"/>
  <c r="E60" i="113" s="1"/>
  <c r="F64" i="113" s="1"/>
  <c r="B88" i="113"/>
  <c r="C55" i="113"/>
  <c r="C53" i="113"/>
  <c r="C43" i="113"/>
  <c r="C41" i="113"/>
  <c r="C38" i="113"/>
  <c r="C36" i="113"/>
  <c r="C37" i="113" s="1"/>
  <c r="E35" i="113" s="1"/>
  <c r="C29" i="113"/>
  <c r="E27" i="113" s="1"/>
  <c r="C26" i="113"/>
  <c r="C24" i="113"/>
  <c r="C22" i="113"/>
  <c r="C20" i="113"/>
  <c r="B100" i="113" s="1"/>
  <c r="C18" i="113"/>
  <c r="C16" i="113"/>
  <c r="B96" i="113"/>
  <c r="C10" i="113"/>
  <c r="C8" i="113"/>
  <c r="G1" i="113"/>
  <c r="N194" i="111"/>
  <c r="N190" i="111"/>
  <c r="C71" i="111"/>
  <c r="C69" i="111"/>
  <c r="B92" i="111" s="1"/>
  <c r="B90" i="111"/>
  <c r="B88" i="111"/>
  <c r="B86" i="111"/>
  <c r="C55" i="111"/>
  <c r="C53" i="111"/>
  <c r="B84" i="111" s="1"/>
  <c r="B82" i="111"/>
  <c r="C46" i="111"/>
  <c r="C43" i="111"/>
  <c r="C41" i="111"/>
  <c r="C42" i="111" s="1"/>
  <c r="C38" i="111"/>
  <c r="C36" i="111"/>
  <c r="B108" i="111" s="1"/>
  <c r="B106" i="111"/>
  <c r="B104" i="111"/>
  <c r="C26" i="111"/>
  <c r="C24" i="111"/>
  <c r="B102" i="111" s="1"/>
  <c r="C102" i="111" s="1"/>
  <c r="B100" i="111"/>
  <c r="B98" i="111"/>
  <c r="B96" i="111"/>
  <c r="C10" i="111"/>
  <c r="C8" i="111"/>
  <c r="B94" i="111" s="1"/>
  <c r="C94" i="111" s="1"/>
  <c r="F1" i="111"/>
  <c r="C92" i="111" l="1"/>
  <c r="C90" i="111"/>
  <c r="C82" i="111"/>
  <c r="B80" i="111"/>
  <c r="B78" i="111"/>
  <c r="C78" i="111" s="1"/>
  <c r="C108" i="111"/>
  <c r="C37" i="111"/>
  <c r="C33" i="111"/>
  <c r="C96" i="111"/>
  <c r="B84" i="113"/>
  <c r="C21" i="113"/>
  <c r="C54" i="113"/>
  <c r="C70" i="113"/>
  <c r="E68" i="113" s="1"/>
  <c r="B90" i="113"/>
  <c r="C66" i="113"/>
  <c r="B86" i="113"/>
  <c r="C58" i="113"/>
  <c r="B82" i="113"/>
  <c r="C50" i="113"/>
  <c r="E52" i="113" s="1"/>
  <c r="F48" i="113" s="1"/>
  <c r="G56" i="113" s="1"/>
  <c r="C84" i="113"/>
  <c r="C46" i="113"/>
  <c r="B78" i="113"/>
  <c r="C42" i="113"/>
  <c r="C80" i="113"/>
  <c r="C33" i="113"/>
  <c r="B102" i="113"/>
  <c r="C25" i="113"/>
  <c r="B98" i="113"/>
  <c r="C17" i="113"/>
  <c r="C100" i="113"/>
  <c r="C13" i="113"/>
  <c r="B94" i="113"/>
  <c r="C9" i="113"/>
  <c r="C96" i="113"/>
  <c r="C94" i="113"/>
  <c r="C98" i="113"/>
  <c r="C78" i="113"/>
  <c r="C82" i="113"/>
  <c r="B92" i="113"/>
  <c r="B104" i="113"/>
  <c r="C104" i="113" s="1"/>
  <c r="B106" i="113"/>
  <c r="B108" i="113"/>
  <c r="J173" i="111"/>
  <c r="J171" i="111"/>
  <c r="C84" i="111"/>
  <c r="J169" i="111" s="1"/>
  <c r="C80" i="111"/>
  <c r="C106" i="111"/>
  <c r="J181" i="111" s="1"/>
  <c r="C104" i="111"/>
  <c r="J179" i="111" s="1"/>
  <c r="J177" i="111"/>
  <c r="J175" i="111"/>
  <c r="O195" i="111"/>
  <c r="O192" i="111"/>
  <c r="C9" i="111"/>
  <c r="C17" i="111"/>
  <c r="C83" i="111"/>
  <c r="C87" i="111"/>
  <c r="C95" i="111"/>
  <c r="C54" i="111"/>
  <c r="C21" i="111"/>
  <c r="C25" i="111"/>
  <c r="C58" i="111"/>
  <c r="C62" i="111"/>
  <c r="C99" i="111"/>
  <c r="C103" i="111"/>
  <c r="C107" i="111"/>
  <c r="C13" i="111"/>
  <c r="C29" i="111"/>
  <c r="C50" i="111"/>
  <c r="C66" i="111"/>
  <c r="C70" i="111"/>
  <c r="C91" i="111"/>
  <c r="K171" i="111" l="1"/>
  <c r="K173" i="111"/>
  <c r="J167" i="111"/>
  <c r="C79" i="111"/>
  <c r="E44" i="111"/>
  <c r="D105" i="111"/>
  <c r="K181" i="111"/>
  <c r="E19" i="111"/>
  <c r="D85" i="111"/>
  <c r="K177" i="111"/>
  <c r="D77" i="113"/>
  <c r="C108" i="113"/>
  <c r="C106" i="113"/>
  <c r="C87" i="113"/>
  <c r="C79" i="113"/>
  <c r="C99" i="113"/>
  <c r="E99" i="113" s="1"/>
  <c r="C83" i="113"/>
  <c r="C102" i="113"/>
  <c r="C95" i="113"/>
  <c r="K191" i="111"/>
  <c r="K167" i="111"/>
  <c r="K169" i="111"/>
  <c r="K189" i="111" s="1"/>
  <c r="K179" i="111"/>
  <c r="K195" i="111"/>
  <c r="K175" i="111"/>
  <c r="M30" i="1"/>
  <c r="L52" i="1"/>
  <c r="K35" i="1"/>
  <c r="L36" i="1"/>
  <c r="K7" i="1"/>
  <c r="K193" i="111" l="1"/>
  <c r="K172" i="111"/>
  <c r="E68" i="111"/>
  <c r="D93" i="111"/>
  <c r="E60" i="111"/>
  <c r="D97" i="111"/>
  <c r="E52" i="111"/>
  <c r="D101" i="111"/>
  <c r="K168" i="111"/>
  <c r="L168" i="111" s="1"/>
  <c r="K180" i="111"/>
  <c r="E35" i="111"/>
  <c r="D77" i="111"/>
  <c r="E27" i="111"/>
  <c r="D81" i="111"/>
  <c r="K176" i="111"/>
  <c r="L176" i="111" s="1"/>
  <c r="E11" i="111"/>
  <c r="D89" i="111"/>
  <c r="D93" i="113"/>
  <c r="D97" i="113"/>
  <c r="E97" i="113" s="1"/>
  <c r="D101" i="113"/>
  <c r="D81" i="113"/>
  <c r="D85" i="113"/>
  <c r="J132" i="113" s="1"/>
  <c r="E19" i="113"/>
  <c r="C91" i="113"/>
  <c r="C103" i="113"/>
  <c r="C107" i="113"/>
  <c r="L191" i="111"/>
  <c r="L189" i="111"/>
  <c r="L180" i="111"/>
  <c r="L193" i="111"/>
  <c r="L195" i="111"/>
  <c r="L172" i="111"/>
  <c r="L170" i="111" s="1"/>
  <c r="F15" i="111"/>
  <c r="K51" i="1"/>
  <c r="E19" i="87"/>
  <c r="F48" i="111" l="1"/>
  <c r="F84" i="111"/>
  <c r="J142" i="111"/>
  <c r="E106" i="111"/>
  <c r="F92" i="111"/>
  <c r="F31" i="111"/>
  <c r="M184" i="111"/>
  <c r="J132" i="111"/>
  <c r="E86" i="111"/>
  <c r="L178" i="111"/>
  <c r="O177" i="111" s="1"/>
  <c r="F100" i="111"/>
  <c r="F31" i="113"/>
  <c r="E86" i="113"/>
  <c r="M120" i="113" s="1"/>
  <c r="O124" i="113" s="1"/>
  <c r="E98" i="113"/>
  <c r="M122" i="113" s="1"/>
  <c r="O121" i="113" s="1"/>
  <c r="J130" i="113"/>
  <c r="E82" i="113"/>
  <c r="L113" i="113" s="1"/>
  <c r="O118" i="113" s="1"/>
  <c r="J128" i="113"/>
  <c r="E78" i="113"/>
  <c r="F80" i="113" s="1"/>
  <c r="J136" i="113"/>
  <c r="E94" i="113"/>
  <c r="F96" i="113" s="1"/>
  <c r="L190" i="111"/>
  <c r="M197" i="111"/>
  <c r="M182" i="111"/>
  <c r="N184" i="111" s="1"/>
  <c r="N182" i="111"/>
  <c r="M199" i="111"/>
  <c r="L194" i="111"/>
  <c r="O174" i="111"/>
  <c r="S59" i="101"/>
  <c r="E94" i="111" l="1"/>
  <c r="J136" i="111"/>
  <c r="F64" i="111"/>
  <c r="F76" i="111"/>
  <c r="J138" i="111"/>
  <c r="E98" i="111"/>
  <c r="J140" i="111"/>
  <c r="E102" i="111"/>
  <c r="G56" i="111"/>
  <c r="J128" i="111"/>
  <c r="E78" i="111"/>
  <c r="H75" i="111"/>
  <c r="J130" i="111"/>
  <c r="E82" i="111"/>
  <c r="J134" i="111"/>
  <c r="E90" i="111"/>
  <c r="G23" i="111"/>
  <c r="F92" i="113"/>
  <c r="F76" i="113"/>
  <c r="F84" i="113"/>
  <c r="F100" i="113"/>
  <c r="F15" i="113"/>
  <c r="J134" i="113"/>
  <c r="E90" i="113"/>
  <c r="F88" i="113" s="1"/>
  <c r="J140" i="113"/>
  <c r="E102" i="113"/>
  <c r="F104" i="113" s="1"/>
  <c r="E106" i="113"/>
  <c r="L117" i="113" s="1"/>
  <c r="O115" i="113" s="1"/>
  <c r="J142" i="113"/>
  <c r="K155" i="113"/>
  <c r="O183" i="111"/>
  <c r="O186" i="111"/>
  <c r="N197" i="111"/>
  <c r="N199" i="111"/>
  <c r="O46" i="101"/>
  <c r="O47" i="101"/>
  <c r="O48" i="101"/>
  <c r="O45" i="101"/>
  <c r="L47" i="101"/>
  <c r="L45" i="101"/>
  <c r="L38" i="101"/>
  <c r="L39" i="101"/>
  <c r="L40" i="101"/>
  <c r="L37" i="101"/>
  <c r="S54" i="101"/>
  <c r="S55" i="101"/>
  <c r="S56" i="101"/>
  <c r="S57" i="101"/>
  <c r="S58" i="101"/>
  <c r="S60" i="101"/>
  <c r="S61" i="101"/>
  <c r="S53" i="101"/>
  <c r="P59" i="101" s="1"/>
  <c r="AI31" i="101"/>
  <c r="AI30" i="101"/>
  <c r="AI29" i="101"/>
  <c r="AI28" i="101"/>
  <c r="AI27" i="101"/>
  <c r="AI26" i="101"/>
  <c r="AI25" i="101"/>
  <c r="AI24" i="101"/>
  <c r="AI23" i="101"/>
  <c r="AI22" i="101"/>
  <c r="AI21" i="101"/>
  <c r="AI20" i="101"/>
  <c r="AI19" i="101"/>
  <c r="AI18" i="101"/>
  <c r="AI17" i="101"/>
  <c r="AI16" i="101"/>
  <c r="AI15" i="101"/>
  <c r="AI14" i="101"/>
  <c r="AI13" i="101"/>
  <c r="AI12" i="101"/>
  <c r="AI11" i="101"/>
  <c r="AI10" i="101"/>
  <c r="AI9" i="101"/>
  <c r="AI8" i="101"/>
  <c r="AI7" i="101"/>
  <c r="AB26" i="105"/>
  <c r="AB25" i="105"/>
  <c r="AB24" i="105"/>
  <c r="AB23" i="105"/>
  <c r="AB22" i="105"/>
  <c r="AB21" i="105"/>
  <c r="AB20" i="105"/>
  <c r="AB19" i="105"/>
  <c r="AB18" i="105"/>
  <c r="AB17" i="105"/>
  <c r="AB16" i="105"/>
  <c r="AB15" i="105"/>
  <c r="AB14" i="105"/>
  <c r="AB13" i="105"/>
  <c r="AB12" i="105"/>
  <c r="AB11" i="105"/>
  <c r="AB10" i="105"/>
  <c r="AB9" i="105"/>
  <c r="AB8" i="105"/>
  <c r="AB7" i="105"/>
  <c r="AD11" i="105" l="1"/>
  <c r="H91" i="111"/>
  <c r="K157" i="111"/>
  <c r="K141" i="111"/>
  <c r="F104" i="111"/>
  <c r="K133" i="111"/>
  <c r="AD7" i="105"/>
  <c r="AD10" i="105"/>
  <c r="AD15" i="105"/>
  <c r="AD17" i="105"/>
  <c r="AD19" i="105"/>
  <c r="AD20" i="105"/>
  <c r="AD22" i="105"/>
  <c r="AD25" i="105"/>
  <c r="AD12" i="105"/>
  <c r="AD14" i="105"/>
  <c r="AD16" i="105"/>
  <c r="AD18" i="105"/>
  <c r="AD21" i="105"/>
  <c r="AD23" i="105"/>
  <c r="AD24" i="105"/>
  <c r="AD26" i="105"/>
  <c r="AD13" i="105"/>
  <c r="J73" i="111"/>
  <c r="K137" i="113"/>
  <c r="K133" i="113"/>
  <c r="K153" i="113"/>
  <c r="O201" i="111"/>
  <c r="O198" i="111"/>
  <c r="L46" i="101"/>
  <c r="L48" i="101"/>
  <c r="P56" i="101"/>
  <c r="P54" i="101"/>
  <c r="P53" i="101"/>
  <c r="P61" i="101"/>
  <c r="P57" i="101"/>
  <c r="P55" i="101"/>
  <c r="P60" i="101"/>
  <c r="P58" i="101"/>
  <c r="AD9" i="105"/>
  <c r="AD8" i="105"/>
  <c r="H40" i="111" l="1"/>
  <c r="F96" i="111"/>
  <c r="K153" i="111"/>
  <c r="K116" i="111"/>
  <c r="K137" i="111"/>
  <c r="K155" i="111"/>
  <c r="K112" i="111"/>
  <c r="F80" i="111"/>
  <c r="K129" i="111"/>
  <c r="K151" i="111"/>
  <c r="F88" i="111"/>
  <c r="K114" i="111"/>
  <c r="G94" i="113"/>
  <c r="H98" i="113" s="1"/>
  <c r="K101" i="113"/>
  <c r="K97" i="113"/>
  <c r="G78" i="113"/>
  <c r="K99" i="113"/>
  <c r="G86" i="113"/>
  <c r="H91" i="113"/>
  <c r="I95" i="113" s="1"/>
  <c r="O77" i="113" s="1"/>
  <c r="H75" i="113"/>
  <c r="G23" i="113"/>
  <c r="K103" i="113"/>
  <c r="G102" i="113"/>
  <c r="K157" i="113"/>
  <c r="K141" i="113"/>
  <c r="AG7" i="101"/>
  <c r="AG8" i="101"/>
  <c r="AG9" i="101"/>
  <c r="AG10" i="101"/>
  <c r="AG11" i="101"/>
  <c r="AG12" i="101"/>
  <c r="AG13" i="101"/>
  <c r="AG14" i="101"/>
  <c r="AG15" i="101"/>
  <c r="AG16" i="101"/>
  <c r="AG17" i="101"/>
  <c r="AG18" i="101"/>
  <c r="AG19" i="101"/>
  <c r="AG20" i="101"/>
  <c r="AG21" i="101"/>
  <c r="AG22" i="101"/>
  <c r="AG23" i="101"/>
  <c r="AG24" i="101"/>
  <c r="AG25" i="101"/>
  <c r="AG26" i="101"/>
  <c r="AG27" i="101"/>
  <c r="AG28" i="101"/>
  <c r="AG29" i="101"/>
  <c r="AG30" i="101"/>
  <c r="AG31" i="101"/>
  <c r="L152" i="111" l="1"/>
  <c r="O154" i="111" s="1"/>
  <c r="G102" i="111"/>
  <c r="K103" i="111"/>
  <c r="L117" i="111"/>
  <c r="O115" i="111" s="1"/>
  <c r="M122" i="111"/>
  <c r="L131" i="111"/>
  <c r="M144" i="111"/>
  <c r="H40" i="113"/>
  <c r="M159" i="113"/>
  <c r="L152" i="113"/>
  <c r="O157" i="113" s="1"/>
  <c r="M144" i="113"/>
  <c r="L131" i="113"/>
  <c r="O138" i="113" s="1"/>
  <c r="AH7" i="101"/>
  <c r="AH11" i="101"/>
  <c r="AH13" i="101"/>
  <c r="AH15" i="101"/>
  <c r="AH17" i="101"/>
  <c r="AH19" i="101"/>
  <c r="AH21" i="101"/>
  <c r="AH23" i="101"/>
  <c r="AH25" i="101"/>
  <c r="AH27" i="101"/>
  <c r="AH29" i="101"/>
  <c r="AH31" i="101"/>
  <c r="AH8" i="101"/>
  <c r="AH14" i="101"/>
  <c r="AH16" i="101"/>
  <c r="AH18" i="101"/>
  <c r="AH22" i="101"/>
  <c r="AH24" i="101"/>
  <c r="AH26" i="101"/>
  <c r="AH28" i="101"/>
  <c r="AH30" i="101"/>
  <c r="M159" i="111" l="1"/>
  <c r="K101" i="111"/>
  <c r="G94" i="111"/>
  <c r="L139" i="111"/>
  <c r="M146" i="111"/>
  <c r="O138" i="111"/>
  <c r="M161" i="111"/>
  <c r="L156" i="111"/>
  <c r="O157" i="111" s="1"/>
  <c r="K99" i="111"/>
  <c r="G78" i="111"/>
  <c r="K97" i="111"/>
  <c r="G86" i="111"/>
  <c r="M120" i="111"/>
  <c r="L113" i="111"/>
  <c r="O118" i="111" s="1"/>
  <c r="M105" i="113"/>
  <c r="L98" i="113"/>
  <c r="O103" i="113" s="1"/>
  <c r="H82" i="113"/>
  <c r="M89" i="113"/>
  <c r="M91" i="113"/>
  <c r="M107" i="113"/>
  <c r="J73" i="113"/>
  <c r="L102" i="113"/>
  <c r="O100" i="113" s="1"/>
  <c r="M161" i="113"/>
  <c r="L156" i="113"/>
  <c r="O154" i="113" s="1"/>
  <c r="M146" i="113"/>
  <c r="L139" i="113"/>
  <c r="M25" i="64"/>
  <c r="M36" i="64"/>
  <c r="B36" i="64"/>
  <c r="A36" i="64" s="1"/>
  <c r="D36" i="64"/>
  <c r="C36" i="64" s="1"/>
  <c r="W21" i="100"/>
  <c r="U21" i="100"/>
  <c r="W20" i="100"/>
  <c r="U20" i="100"/>
  <c r="W19" i="100"/>
  <c r="U19" i="100"/>
  <c r="O18" i="100"/>
  <c r="O17" i="100"/>
  <c r="W16" i="100"/>
  <c r="U16" i="100"/>
  <c r="S16" i="100"/>
  <c r="Q16" i="100"/>
  <c r="O16" i="100"/>
  <c r="W15" i="100"/>
  <c r="U15" i="100"/>
  <c r="W14" i="100"/>
  <c r="U14" i="100"/>
  <c r="W13" i="100"/>
  <c r="U13" i="100"/>
  <c r="O12" i="100"/>
  <c r="O11" i="100"/>
  <c r="W10" i="100"/>
  <c r="U10" i="100"/>
  <c r="W8" i="100"/>
  <c r="U8" i="100"/>
  <c r="V34" i="100"/>
  <c r="W34" i="100" s="1"/>
  <c r="T34" i="100"/>
  <c r="U34" i="100" s="1"/>
  <c r="R34" i="100"/>
  <c r="S34" i="100" s="1"/>
  <c r="P34" i="100"/>
  <c r="Q34" i="100" s="1"/>
  <c r="N34" i="100"/>
  <c r="V33" i="100"/>
  <c r="W33" i="100" s="1"/>
  <c r="T33" i="100"/>
  <c r="U33" i="100" s="1"/>
  <c r="R33" i="100"/>
  <c r="S33" i="100" s="1"/>
  <c r="P33" i="100"/>
  <c r="Q33" i="100" s="1"/>
  <c r="N33" i="100"/>
  <c r="O33" i="100" s="1"/>
  <c r="V32" i="100"/>
  <c r="W32" i="100" s="1"/>
  <c r="T32" i="100"/>
  <c r="U32" i="100" s="1"/>
  <c r="R32" i="100"/>
  <c r="S32" i="100" s="1"/>
  <c r="P32" i="100"/>
  <c r="Q32" i="100" s="1"/>
  <c r="N32" i="100"/>
  <c r="O32" i="100" s="1"/>
  <c r="V31" i="100"/>
  <c r="W31" i="100" s="1"/>
  <c r="T31" i="100"/>
  <c r="U31" i="100" s="1"/>
  <c r="R31" i="100"/>
  <c r="S31" i="100" s="1"/>
  <c r="P31" i="100"/>
  <c r="Q31" i="100" s="1"/>
  <c r="N31" i="100"/>
  <c r="O31" i="100" s="1"/>
  <c r="V28" i="100"/>
  <c r="W28" i="100" s="1"/>
  <c r="T28" i="100"/>
  <c r="U28" i="100" s="1"/>
  <c r="R28" i="100"/>
  <c r="S28" i="100" s="1"/>
  <c r="P28" i="100"/>
  <c r="Q28" i="100" s="1"/>
  <c r="N28" i="100"/>
  <c r="O28" i="100" s="1"/>
  <c r="V27" i="100"/>
  <c r="W27" i="100" s="1"/>
  <c r="T27" i="100"/>
  <c r="U27" i="100" s="1"/>
  <c r="R27" i="100"/>
  <c r="S27" i="100" s="1"/>
  <c r="P27" i="100"/>
  <c r="Q27" i="100" s="1"/>
  <c r="N27" i="100"/>
  <c r="O27" i="100" s="1"/>
  <c r="V26" i="100"/>
  <c r="W26" i="100" s="1"/>
  <c r="T26" i="100"/>
  <c r="U26" i="100" s="1"/>
  <c r="R26" i="100"/>
  <c r="S26" i="100" s="1"/>
  <c r="P26" i="100"/>
  <c r="Q26" i="100" s="1"/>
  <c r="N26" i="100"/>
  <c r="O26" i="100" s="1"/>
  <c r="V25" i="100"/>
  <c r="W25" i="100" s="1"/>
  <c r="T25" i="100"/>
  <c r="U25" i="100" s="1"/>
  <c r="R25" i="100"/>
  <c r="S25" i="100" s="1"/>
  <c r="P25" i="100"/>
  <c r="Q25" i="100" s="1"/>
  <c r="N25" i="100"/>
  <c r="O25" i="100" s="1"/>
  <c r="V22" i="100"/>
  <c r="W22" i="100" s="1"/>
  <c r="T22" i="100"/>
  <c r="U22" i="100" s="1"/>
  <c r="R22" i="100"/>
  <c r="S22" i="100" s="1"/>
  <c r="P22" i="100"/>
  <c r="Q22" i="100" s="1"/>
  <c r="N22" i="100"/>
  <c r="V21" i="100"/>
  <c r="T21" i="100"/>
  <c r="R21" i="100"/>
  <c r="P21" i="100"/>
  <c r="N21" i="100"/>
  <c r="V20" i="100"/>
  <c r="T20" i="100"/>
  <c r="R20" i="100"/>
  <c r="P20" i="100"/>
  <c r="N20" i="100"/>
  <c r="V19" i="100"/>
  <c r="T19" i="100"/>
  <c r="R19" i="100"/>
  <c r="P19" i="100"/>
  <c r="N19" i="100"/>
  <c r="V16" i="100"/>
  <c r="T16" i="100"/>
  <c r="R16" i="100"/>
  <c r="P16" i="100"/>
  <c r="N16" i="100"/>
  <c r="V15" i="100"/>
  <c r="T15" i="100"/>
  <c r="R15" i="100"/>
  <c r="P15" i="100"/>
  <c r="N15" i="100"/>
  <c r="V14" i="100"/>
  <c r="T14" i="100"/>
  <c r="R14" i="100"/>
  <c r="P14" i="100"/>
  <c r="N14" i="100"/>
  <c r="V13" i="100"/>
  <c r="T13" i="100"/>
  <c r="R13" i="100"/>
  <c r="P13" i="100"/>
  <c r="N13" i="100"/>
  <c r="V10" i="100"/>
  <c r="T10" i="100"/>
  <c r="R10" i="100"/>
  <c r="P10" i="100"/>
  <c r="N10" i="100"/>
  <c r="V9" i="100"/>
  <c r="T9" i="100"/>
  <c r="R9" i="100"/>
  <c r="S9" i="100" s="1"/>
  <c r="P9" i="100"/>
  <c r="N9" i="100"/>
  <c r="V8" i="100"/>
  <c r="T8" i="100"/>
  <c r="R8" i="100"/>
  <c r="P8" i="100"/>
  <c r="N8" i="100"/>
  <c r="V7" i="100"/>
  <c r="W7" i="100" s="1"/>
  <c r="T7" i="100"/>
  <c r="U7" i="100" s="1"/>
  <c r="R7" i="100"/>
  <c r="P7" i="100"/>
  <c r="N7" i="100"/>
  <c r="O135" i="111" l="1"/>
  <c r="M107" i="111"/>
  <c r="L102" i="111"/>
  <c r="O100" i="111" s="1"/>
  <c r="H82" i="111"/>
  <c r="H98" i="111"/>
  <c r="M91" i="111"/>
  <c r="M89" i="111"/>
  <c r="L98" i="111"/>
  <c r="O103" i="111" s="1"/>
  <c r="M105" i="111"/>
  <c r="M33" i="100"/>
  <c r="M16" i="100"/>
  <c r="O22" i="100"/>
  <c r="M22" i="100" s="1"/>
  <c r="O34" i="100"/>
  <c r="M34" i="100" s="1"/>
  <c r="M25" i="100"/>
  <c r="M27" i="100"/>
  <c r="M28" i="100"/>
  <c r="M31" i="100"/>
  <c r="M32" i="100"/>
  <c r="O163" i="113"/>
  <c r="O90" i="113"/>
  <c r="O93" i="113"/>
  <c r="O135" i="113"/>
  <c r="O148" i="113"/>
  <c r="O145" i="113"/>
  <c r="M26" i="100"/>
  <c r="O160" i="111" l="1"/>
  <c r="O163" i="111"/>
  <c r="O148" i="111"/>
  <c r="O145" i="111"/>
  <c r="M82" i="111"/>
  <c r="I79" i="111"/>
  <c r="O121" i="111"/>
  <c r="O124" i="111"/>
  <c r="M82" i="113"/>
  <c r="I79" i="113"/>
  <c r="O160" i="113"/>
  <c r="O106" i="113"/>
  <c r="O109" i="113"/>
  <c r="M84" i="113"/>
  <c r="M50" i="64"/>
  <c r="B50" i="64"/>
  <c r="A50" i="64" s="1"/>
  <c r="D50" i="64"/>
  <c r="C50" i="64" s="1"/>
  <c r="M49" i="64"/>
  <c r="B49" i="64"/>
  <c r="A49" i="64" s="1"/>
  <c r="D49" i="64"/>
  <c r="C49" i="64" s="1"/>
  <c r="M44" i="64"/>
  <c r="M41" i="64"/>
  <c r="D41" i="64"/>
  <c r="C41" i="64" s="1"/>
  <c r="B41" i="64"/>
  <c r="A41" i="64" s="1"/>
  <c r="A4" i="100"/>
  <c r="A2" i="100"/>
  <c r="C112" i="100"/>
  <c r="C104" i="100"/>
  <c r="E28" i="100"/>
  <c r="C28" i="100"/>
  <c r="E27" i="100"/>
  <c r="E26" i="100"/>
  <c r="G26" i="100" s="1"/>
  <c r="C25" i="100"/>
  <c r="G25" i="100" s="1"/>
  <c r="E22" i="100"/>
  <c r="G20" i="100" s="1"/>
  <c r="C22" i="100"/>
  <c r="G22" i="100" s="1"/>
  <c r="G21" i="100"/>
  <c r="G19" i="100"/>
  <c r="E16" i="100"/>
  <c r="G14" i="100" s="1"/>
  <c r="C16" i="100"/>
  <c r="G16" i="100" s="1"/>
  <c r="G15" i="100"/>
  <c r="G13" i="100"/>
  <c r="E10" i="100"/>
  <c r="E8" i="100"/>
  <c r="G8" i="100" s="1"/>
  <c r="C1" i="100"/>
  <c r="M84" i="111" l="1"/>
  <c r="I95" i="111"/>
  <c r="O93" i="111"/>
  <c r="O90" i="111"/>
  <c r="O109" i="111"/>
  <c r="O106" i="111"/>
  <c r="G27" i="100"/>
  <c r="G28" i="100"/>
  <c r="G9" i="100"/>
  <c r="G10" i="100"/>
  <c r="G7" i="100"/>
  <c r="H60" i="98"/>
  <c r="J60" i="98" s="1"/>
  <c r="H59" i="98"/>
  <c r="J59" i="98" s="1"/>
  <c r="H58" i="98"/>
  <c r="J58" i="98" s="1"/>
  <c r="H57" i="98"/>
  <c r="J57" i="98" s="1"/>
  <c r="H56" i="98"/>
  <c r="J56" i="98" s="1"/>
  <c r="M55" i="98"/>
  <c r="H53" i="98"/>
  <c r="J53" i="98" s="1"/>
  <c r="H52" i="98"/>
  <c r="J52" i="98" s="1"/>
  <c r="H51" i="98"/>
  <c r="J51" i="98" s="1"/>
  <c r="H50" i="98"/>
  <c r="J50" i="98" s="1"/>
  <c r="H49" i="98"/>
  <c r="J49" i="98" s="1"/>
  <c r="M48" i="98"/>
  <c r="H46" i="98"/>
  <c r="J46" i="98" s="1"/>
  <c r="H45" i="98"/>
  <c r="J45" i="98" s="1"/>
  <c r="H44" i="98"/>
  <c r="J44" i="98" s="1"/>
  <c r="H43" i="98"/>
  <c r="J43" i="98" s="1"/>
  <c r="H42" i="98"/>
  <c r="J42" i="98" s="1"/>
  <c r="M41" i="98"/>
  <c r="H39" i="98"/>
  <c r="J39" i="98" s="1"/>
  <c r="H38" i="98"/>
  <c r="J38" i="98" s="1"/>
  <c r="H37" i="98"/>
  <c r="J37" i="98" s="1"/>
  <c r="H36" i="98"/>
  <c r="J36" i="98" s="1"/>
  <c r="H35" i="98"/>
  <c r="J35" i="98" s="1"/>
  <c r="M34" i="98"/>
  <c r="H32" i="98"/>
  <c r="J32" i="98" s="1"/>
  <c r="H31" i="98"/>
  <c r="J31" i="98" s="1"/>
  <c r="H30" i="98"/>
  <c r="J30" i="98" s="1"/>
  <c r="H29" i="98"/>
  <c r="J29" i="98" s="1"/>
  <c r="H28" i="98"/>
  <c r="J28" i="98" s="1"/>
  <c r="M27" i="98"/>
  <c r="H25" i="98"/>
  <c r="J25" i="98" s="1"/>
  <c r="H24" i="98"/>
  <c r="J24" i="98" s="1"/>
  <c r="H23" i="98"/>
  <c r="J23" i="98" s="1"/>
  <c r="H22" i="98"/>
  <c r="J22" i="98" s="1"/>
  <c r="H21" i="98"/>
  <c r="J21" i="98" s="1"/>
  <c r="M20" i="98"/>
  <c r="H18" i="98"/>
  <c r="J18" i="98" s="1"/>
  <c r="H17" i="98"/>
  <c r="J17" i="98" s="1"/>
  <c r="H16" i="98"/>
  <c r="J16" i="98" s="1"/>
  <c r="H15" i="98"/>
  <c r="J15" i="98" s="1"/>
  <c r="H14" i="98"/>
  <c r="J14" i="98" s="1"/>
  <c r="M13" i="98"/>
  <c r="H11" i="98"/>
  <c r="J11" i="98" s="1"/>
  <c r="H10" i="98"/>
  <c r="J10" i="98" s="1"/>
  <c r="H9" i="98"/>
  <c r="J9" i="98" s="1"/>
  <c r="H8" i="98"/>
  <c r="J8" i="98" s="1"/>
  <c r="H7" i="98"/>
  <c r="J7" i="98" s="1"/>
  <c r="M6" i="98"/>
  <c r="I11" i="98" s="1"/>
  <c r="I18" i="98" l="1"/>
  <c r="I25" i="98"/>
  <c r="O86" i="111"/>
  <c r="O83" i="111"/>
  <c r="O77" i="111"/>
  <c r="J87" i="111"/>
  <c r="O83" i="113"/>
  <c r="J87" i="113"/>
  <c r="O74" i="113" s="1"/>
  <c r="O86" i="113"/>
  <c r="C146" i="100"/>
  <c r="E145" i="100" s="1"/>
  <c r="C142" i="100"/>
  <c r="E148" i="100" s="1"/>
  <c r="C144" i="100"/>
  <c r="E150" i="100" s="1"/>
  <c r="C140" i="100"/>
  <c r="E141" i="100"/>
  <c r="H143" i="100" s="1"/>
  <c r="H152" i="100"/>
  <c r="B114" i="100"/>
  <c r="C115" i="100" s="1"/>
  <c r="E113" i="100" s="1"/>
  <c r="B102" i="100"/>
  <c r="C102" i="100" s="1"/>
  <c r="B116" i="100"/>
  <c r="C129" i="100" s="1"/>
  <c r="B110" i="100"/>
  <c r="C110" i="100" s="1"/>
  <c r="B108" i="100"/>
  <c r="B106" i="100"/>
  <c r="L7" i="98"/>
  <c r="K7" i="98"/>
  <c r="M7" i="98" s="1"/>
  <c r="L11" i="98"/>
  <c r="K11" i="98"/>
  <c r="M11" i="98" s="1"/>
  <c r="K16" i="98"/>
  <c r="L16" i="98"/>
  <c r="L8" i="98"/>
  <c r="K8" i="98"/>
  <c r="M8" i="98" s="1"/>
  <c r="L10" i="98"/>
  <c r="K10" i="98"/>
  <c r="M10" i="98" s="1"/>
  <c r="K15" i="98"/>
  <c r="L15" i="98"/>
  <c r="K17" i="98"/>
  <c r="L17" i="98"/>
  <c r="L22" i="98"/>
  <c r="K22" i="98"/>
  <c r="M22" i="98" s="1"/>
  <c r="L24" i="98"/>
  <c r="K24" i="98"/>
  <c r="M24" i="98" s="1"/>
  <c r="K29" i="98"/>
  <c r="L29" i="98"/>
  <c r="K31" i="98"/>
  <c r="L31" i="98"/>
  <c r="L9" i="98"/>
  <c r="K9" i="98"/>
  <c r="M9" i="98" s="1"/>
  <c r="I9" i="98" s="1"/>
  <c r="K14" i="98"/>
  <c r="L14" i="98"/>
  <c r="K18" i="98"/>
  <c r="L18" i="98"/>
  <c r="L21" i="98"/>
  <c r="K21" i="98"/>
  <c r="L23" i="98"/>
  <c r="K23" i="98"/>
  <c r="M23" i="98" s="1"/>
  <c r="L25" i="98"/>
  <c r="K25" i="98"/>
  <c r="M25" i="98" s="1"/>
  <c r="K28" i="98"/>
  <c r="L28" i="98"/>
  <c r="K30" i="98"/>
  <c r="L30" i="98"/>
  <c r="K32" i="98"/>
  <c r="L32" i="98"/>
  <c r="L36" i="98"/>
  <c r="K36" i="98"/>
  <c r="M36" i="98" s="1"/>
  <c r="L38" i="98"/>
  <c r="K38" i="98"/>
  <c r="M38" i="98" s="1"/>
  <c r="K43" i="98"/>
  <c r="L43" i="98"/>
  <c r="K45" i="98"/>
  <c r="L45" i="98"/>
  <c r="L50" i="98"/>
  <c r="K50" i="98"/>
  <c r="L52" i="98"/>
  <c r="K52" i="98"/>
  <c r="M52" i="98" s="1"/>
  <c r="K57" i="98"/>
  <c r="L57" i="98"/>
  <c r="K59" i="98"/>
  <c r="L59" i="98"/>
  <c r="L35" i="98"/>
  <c r="K35" i="98"/>
  <c r="L37" i="98"/>
  <c r="K37" i="98"/>
  <c r="M37" i="98" s="1"/>
  <c r="L39" i="98"/>
  <c r="K39" i="98"/>
  <c r="M39" i="98" s="1"/>
  <c r="K42" i="98"/>
  <c r="L42" i="98"/>
  <c r="K44" i="98"/>
  <c r="L44" i="98"/>
  <c r="M44" i="98" s="1"/>
  <c r="K46" i="98"/>
  <c r="L46" i="98"/>
  <c r="L49" i="98"/>
  <c r="K49" i="98"/>
  <c r="M49" i="98" s="1"/>
  <c r="L51" i="98"/>
  <c r="K51" i="98"/>
  <c r="M51" i="98" s="1"/>
  <c r="L53" i="98"/>
  <c r="K53" i="98"/>
  <c r="M53" i="98" s="1"/>
  <c r="K56" i="98"/>
  <c r="L56" i="98"/>
  <c r="K58" i="98"/>
  <c r="L58" i="98"/>
  <c r="M58" i="98" s="1"/>
  <c r="K60" i="98"/>
  <c r="L60" i="98"/>
  <c r="M45" i="98" l="1"/>
  <c r="M43" i="98"/>
  <c r="M14" i="98"/>
  <c r="M17" i="98"/>
  <c r="M15" i="98"/>
  <c r="H146" i="100"/>
  <c r="C125" i="100"/>
  <c r="H149" i="100"/>
  <c r="C107" i="100"/>
  <c r="E117" i="100" s="1"/>
  <c r="H121" i="100" s="1"/>
  <c r="C127" i="100"/>
  <c r="E127" i="100" s="1"/>
  <c r="C111" i="100"/>
  <c r="E119" i="100" s="1"/>
  <c r="H118" i="100" s="1"/>
  <c r="C123" i="100"/>
  <c r="E123" i="100" s="1"/>
  <c r="C103" i="100"/>
  <c r="E105" i="100" s="1"/>
  <c r="H109" i="100" s="1"/>
  <c r="E129" i="100"/>
  <c r="I10" i="98"/>
  <c r="I8" i="98"/>
  <c r="I7" i="98"/>
  <c r="M32" i="98"/>
  <c r="M31" i="98"/>
  <c r="M16" i="98"/>
  <c r="M46" i="98"/>
  <c r="M42" i="98"/>
  <c r="M59" i="98"/>
  <c r="M57" i="98"/>
  <c r="M50" i="98"/>
  <c r="M60" i="98"/>
  <c r="M56" i="98"/>
  <c r="I60" i="98" s="1"/>
  <c r="M35" i="98"/>
  <c r="M21" i="98"/>
  <c r="I21" i="98" s="1"/>
  <c r="M30" i="98"/>
  <c r="M28" i="98"/>
  <c r="I28" i="98" s="1"/>
  <c r="M29" i="98"/>
  <c r="M18" i="98"/>
  <c r="I59" i="98"/>
  <c r="I57" i="98"/>
  <c r="I53" i="98"/>
  <c r="I52" i="98"/>
  <c r="I51" i="98"/>
  <c r="I50" i="98"/>
  <c r="I49" i="98"/>
  <c r="I46" i="98"/>
  <c r="I45" i="98"/>
  <c r="I44" i="98"/>
  <c r="I43" i="98"/>
  <c r="I42" i="98"/>
  <c r="I39" i="98"/>
  <c r="I38" i="98"/>
  <c r="I37" i="98"/>
  <c r="I36" i="98"/>
  <c r="I35" i="98"/>
  <c r="I31" i="98" l="1"/>
  <c r="B153" i="98"/>
  <c r="C166" i="98" s="1"/>
  <c r="I15" i="98"/>
  <c r="I14" i="98"/>
  <c r="I23" i="98"/>
  <c r="I29" i="98"/>
  <c r="I30" i="98"/>
  <c r="I16" i="98"/>
  <c r="I32" i="98"/>
  <c r="I17" i="98"/>
  <c r="I22" i="98"/>
  <c r="I24" i="98"/>
  <c r="K80" i="111"/>
  <c r="O74" i="111"/>
  <c r="H114" i="100"/>
  <c r="E125" i="100"/>
  <c r="B302" i="100"/>
  <c r="B300" i="100"/>
  <c r="B303" i="100"/>
  <c r="B301" i="100"/>
  <c r="E131" i="100"/>
  <c r="G131" i="100" s="1"/>
  <c r="E124" i="100"/>
  <c r="E128" i="100"/>
  <c r="E133" i="100"/>
  <c r="G133" i="100" s="1"/>
  <c r="I56" i="98"/>
  <c r="I58" i="98"/>
  <c r="B147" i="98"/>
  <c r="B143" i="98"/>
  <c r="B139" i="98"/>
  <c r="B107" i="98"/>
  <c r="C124" i="98" s="1"/>
  <c r="B105" i="98"/>
  <c r="C106" i="98" s="1"/>
  <c r="E104" i="98" s="1"/>
  <c r="H108" i="98" s="1"/>
  <c r="B103" i="98"/>
  <c r="C102" i="98" s="1"/>
  <c r="E116" i="98" s="1"/>
  <c r="B101" i="98"/>
  <c r="C122" i="98" s="1"/>
  <c r="E130" i="98" s="1"/>
  <c r="S10" i="64" l="1"/>
  <c r="S12" i="64"/>
  <c r="S14" i="64"/>
  <c r="S16" i="64"/>
  <c r="S24" i="64"/>
  <c r="S36" i="64"/>
  <c r="S42" i="64"/>
  <c r="S9" i="64"/>
  <c r="S11" i="64"/>
  <c r="S13" i="64"/>
  <c r="S15" i="64"/>
  <c r="S25" i="64"/>
  <c r="B111" i="98"/>
  <c r="C110" i="98" s="1"/>
  <c r="E118" i="98" s="1"/>
  <c r="B141" i="98"/>
  <c r="H175" i="98"/>
  <c r="H120" i="98"/>
  <c r="E123" i="98"/>
  <c r="B300" i="98"/>
  <c r="H117" i="98"/>
  <c r="H126" i="100"/>
  <c r="B304" i="100" s="1"/>
  <c r="H129" i="100"/>
  <c r="H132" i="100"/>
  <c r="H135" i="100"/>
  <c r="B305" i="100"/>
  <c r="B109" i="98"/>
  <c r="C126" i="98" s="1"/>
  <c r="B113" i="98"/>
  <c r="C114" i="98" s="1"/>
  <c r="E112" i="98" s="1"/>
  <c r="H113" i="98" s="1"/>
  <c r="B301" i="98" s="1"/>
  <c r="B115" i="98"/>
  <c r="C128" i="98" s="1"/>
  <c r="E132" i="98" s="1"/>
  <c r="H131" i="98" s="1"/>
  <c r="B145" i="98"/>
  <c r="C162" i="98" s="1"/>
  <c r="B149" i="98"/>
  <c r="C164" i="98" s="1"/>
  <c r="B151" i="98"/>
  <c r="C152" i="98" s="1"/>
  <c r="E156" i="98" s="1"/>
  <c r="H155" i="98" s="1"/>
  <c r="C160" i="98"/>
  <c r="C140" i="98"/>
  <c r="E154" i="98" s="1"/>
  <c r="H158" i="98" s="1"/>
  <c r="S29" i="64" l="1"/>
  <c r="S37" i="64"/>
  <c r="S40" i="64"/>
  <c r="S23" i="64"/>
  <c r="S39" i="64"/>
  <c r="S8" i="64"/>
  <c r="R11" i="64"/>
  <c r="M69" i="111"/>
  <c r="O70" i="111" s="1"/>
  <c r="L65" i="111"/>
  <c r="E127" i="98"/>
  <c r="H125" i="98" s="1"/>
  <c r="C144" i="98"/>
  <c r="E142" i="98" s="1"/>
  <c r="H151" i="98" s="1"/>
  <c r="C148" i="98"/>
  <c r="E150" i="98" s="1"/>
  <c r="H146" i="98" s="1"/>
  <c r="H134" i="98"/>
  <c r="H128" i="98"/>
  <c r="B310" i="98" s="1"/>
  <c r="B306" i="98"/>
  <c r="B302" i="98"/>
  <c r="B311" i="98"/>
  <c r="B307" i="98"/>
  <c r="B303" i="98"/>
  <c r="B308" i="98"/>
  <c r="B304" i="98"/>
  <c r="R8" i="64"/>
  <c r="B309" i="98"/>
  <c r="B305" i="98"/>
  <c r="N69" i="113"/>
  <c r="O70" i="113" s="1"/>
  <c r="B306" i="100"/>
  <c r="S18" i="64" s="1"/>
  <c r="B309" i="100"/>
  <c r="B308" i="100"/>
  <c r="B307" i="100"/>
  <c r="E165" i="98"/>
  <c r="H166" i="98" s="1"/>
  <c r="E168" i="98"/>
  <c r="S47" i="64" l="1"/>
  <c r="S31" i="64"/>
  <c r="S48" i="64"/>
  <c r="S28" i="64"/>
  <c r="S53" i="64"/>
  <c r="S45" i="64"/>
  <c r="S17" i="64"/>
  <c r="S50" i="64"/>
  <c r="S38" i="64"/>
  <c r="S30" i="64"/>
  <c r="S22" i="64"/>
  <c r="S51" i="64"/>
  <c r="S43" i="64"/>
  <c r="S35" i="64"/>
  <c r="S27" i="64"/>
  <c r="S19" i="64"/>
  <c r="S52" i="64"/>
  <c r="S44" i="64"/>
  <c r="S32" i="64"/>
  <c r="S20" i="64"/>
  <c r="S49" i="64"/>
  <c r="S33" i="64"/>
  <c r="S21" i="64"/>
  <c r="S46" i="64"/>
  <c r="S34" i="64"/>
  <c r="S26" i="64"/>
  <c r="R14" i="64"/>
  <c r="R10" i="64"/>
  <c r="R19" i="64"/>
  <c r="R40" i="64"/>
  <c r="R28" i="64"/>
  <c r="R20" i="64"/>
  <c r="R16" i="64"/>
  <c r="R12" i="64"/>
  <c r="R21" i="64"/>
  <c r="R13" i="64"/>
  <c r="O67" i="111"/>
  <c r="N65" i="113"/>
  <c r="O67" i="113" s="1"/>
  <c r="B319" i="111"/>
  <c r="B318" i="111"/>
  <c r="B317" i="111"/>
  <c r="B330" i="111"/>
  <c r="B300" i="111"/>
  <c r="B326" i="111"/>
  <c r="B328" i="111"/>
  <c r="B303" i="111"/>
  <c r="B305" i="111"/>
  <c r="B320" i="111"/>
  <c r="B313" i="111"/>
  <c r="B315" i="111"/>
  <c r="B309" i="111"/>
  <c r="B311" i="111"/>
  <c r="B306" i="111"/>
  <c r="B302" i="111"/>
  <c r="B322" i="111"/>
  <c r="B321" i="111"/>
  <c r="B329" i="111"/>
  <c r="B331" i="111"/>
  <c r="B325" i="111"/>
  <c r="B327" i="111"/>
  <c r="B307" i="111"/>
  <c r="B301" i="111"/>
  <c r="B324" i="111"/>
  <c r="B323" i="111"/>
  <c r="B314" i="111"/>
  <c r="B316" i="111"/>
  <c r="B310" i="111"/>
  <c r="B312" i="111"/>
  <c r="B308" i="111"/>
  <c r="B304" i="111"/>
  <c r="E170" i="98"/>
  <c r="E161" i="98"/>
  <c r="H163" i="98" s="1"/>
  <c r="AI8" i="88" l="1"/>
  <c r="AI10" i="88"/>
  <c r="AI12" i="88"/>
  <c r="AI14" i="88"/>
  <c r="AI16" i="88"/>
  <c r="AI18" i="88"/>
  <c r="AI20" i="88"/>
  <c r="AI22" i="88"/>
  <c r="AI24" i="88"/>
  <c r="AI26" i="88"/>
  <c r="AI28" i="88"/>
  <c r="AI30" i="88"/>
  <c r="AI32" i="88"/>
  <c r="AI34" i="88"/>
  <c r="AI36" i="88"/>
  <c r="AI38" i="88"/>
  <c r="AI40" i="88"/>
  <c r="AI42" i="88"/>
  <c r="AI44" i="88"/>
  <c r="AI46" i="88"/>
  <c r="AI48" i="88"/>
  <c r="AI50" i="88"/>
  <c r="AI52" i="88"/>
  <c r="AI54" i="88"/>
  <c r="AI56" i="88"/>
  <c r="AI58" i="88"/>
  <c r="AI60" i="88"/>
  <c r="AI62" i="88"/>
  <c r="AI64" i="88"/>
  <c r="AI66" i="88"/>
  <c r="AI9" i="88"/>
  <c r="AI11" i="88"/>
  <c r="AI13" i="88"/>
  <c r="AI15" i="88"/>
  <c r="AI17" i="88"/>
  <c r="AI19" i="88"/>
  <c r="AI21" i="88"/>
  <c r="AI23" i="88"/>
  <c r="AI25" i="88"/>
  <c r="AI27" i="88"/>
  <c r="AI29" i="88"/>
  <c r="AI31" i="88"/>
  <c r="AI33" i="88"/>
  <c r="AI35" i="88"/>
  <c r="AI37" i="88"/>
  <c r="AI39" i="88"/>
  <c r="AI41" i="88"/>
  <c r="AI43" i="88"/>
  <c r="AI45" i="88"/>
  <c r="AI47" i="88"/>
  <c r="AI49" i="88"/>
  <c r="AI51" i="88"/>
  <c r="AI53" i="88"/>
  <c r="AI55" i="88"/>
  <c r="AI57" i="88"/>
  <c r="AI59" i="88"/>
  <c r="AI61" i="88"/>
  <c r="AI63" i="88"/>
  <c r="AI65" i="88"/>
  <c r="AI7" i="88"/>
  <c r="I45" i="87"/>
  <c r="B312" i="98"/>
  <c r="B313" i="98"/>
  <c r="H172" i="98"/>
  <c r="R27" i="64" l="1"/>
  <c r="R22" i="64"/>
  <c r="B199" i="113"/>
  <c r="B195" i="113"/>
  <c r="B191" i="113"/>
  <c r="B187" i="113"/>
  <c r="B183" i="113"/>
  <c r="B179" i="113"/>
  <c r="B175" i="113"/>
  <c r="B171" i="113"/>
  <c r="B198" i="113"/>
  <c r="B194" i="113"/>
  <c r="B190" i="113"/>
  <c r="B186" i="113"/>
  <c r="B182" i="113"/>
  <c r="B178" i="113"/>
  <c r="B174" i="113"/>
  <c r="B170" i="113"/>
  <c r="B197" i="113"/>
  <c r="B193" i="113"/>
  <c r="B189" i="113"/>
  <c r="B185" i="113"/>
  <c r="B181" i="113"/>
  <c r="B177" i="113"/>
  <c r="B173" i="113"/>
  <c r="B169" i="113"/>
  <c r="B196" i="113"/>
  <c r="B188" i="113"/>
  <c r="B184" i="113"/>
  <c r="B180" i="113"/>
  <c r="B176" i="113"/>
  <c r="B172" i="113"/>
  <c r="B168" i="113"/>
  <c r="H169" i="98"/>
  <c r="H145" i="96"/>
  <c r="J145" i="96" s="1"/>
  <c r="H144" i="96"/>
  <c r="J144" i="96" s="1"/>
  <c r="H143" i="96"/>
  <c r="J143" i="96" s="1"/>
  <c r="H142" i="96"/>
  <c r="J142" i="96" s="1"/>
  <c r="H141" i="96"/>
  <c r="J141" i="96" s="1"/>
  <c r="M140" i="96"/>
  <c r="B315" i="98" l="1"/>
  <c r="B314" i="98"/>
  <c r="B316" i="98"/>
  <c r="I145" i="96"/>
  <c r="I144" i="96"/>
  <c r="K142" i="96"/>
  <c r="M142" i="96" s="1"/>
  <c r="I142" i="96" s="1"/>
  <c r="L142" i="96"/>
  <c r="K145" i="96"/>
  <c r="M145" i="96" s="1"/>
  <c r="L145" i="96"/>
  <c r="K141" i="96"/>
  <c r="M141" i="96" s="1"/>
  <c r="I141" i="96" s="1"/>
  <c r="L141" i="96"/>
  <c r="K143" i="96"/>
  <c r="M143" i="96" s="1"/>
  <c r="I143" i="96" s="1"/>
  <c r="L143" i="96"/>
  <c r="K144" i="96"/>
  <c r="M144" i="96" s="1"/>
  <c r="L144" i="96"/>
  <c r="R9" i="64" l="1"/>
  <c r="R43" i="64"/>
  <c r="R42" i="64"/>
  <c r="R26" i="64"/>
  <c r="R35" i="64"/>
  <c r="R53" i="64"/>
  <c r="R52" i="64"/>
  <c r="R36" i="64"/>
  <c r="R29" i="64"/>
  <c r="R47" i="64"/>
  <c r="R46" i="64"/>
  <c r="R30" i="64"/>
  <c r="R39" i="64"/>
  <c r="R23" i="64"/>
  <c r="R49" i="64"/>
  <c r="R48" i="64"/>
  <c r="R24" i="64"/>
  <c r="R33" i="64"/>
  <c r="R17" i="64"/>
  <c r="R51" i="64"/>
  <c r="R50" i="64"/>
  <c r="R34" i="64"/>
  <c r="R18" i="64"/>
  <c r="R45" i="64"/>
  <c r="R44" i="64"/>
  <c r="R37" i="64"/>
  <c r="R38" i="64"/>
  <c r="R31" i="64"/>
  <c r="R15" i="64"/>
  <c r="R32" i="64"/>
  <c r="R25" i="64"/>
  <c r="H157" i="96"/>
  <c r="H151" i="96"/>
  <c r="H154" i="96"/>
  <c r="E19" i="1" l="1"/>
  <c r="R35" i="88"/>
  <c r="A35" i="88"/>
  <c r="B35" i="88"/>
  <c r="M23" i="1" l="1"/>
  <c r="A4" i="98"/>
  <c r="A2" i="98"/>
  <c r="G1" i="98"/>
  <c r="R47" i="88" l="1"/>
  <c r="A47" i="88"/>
  <c r="B47" i="88"/>
  <c r="R32" i="88"/>
  <c r="A32" i="88"/>
  <c r="B32" i="88"/>
  <c r="R18" i="88"/>
  <c r="A18" i="88"/>
  <c r="B18" i="88"/>
  <c r="R48" i="88"/>
  <c r="E13" i="1" l="1"/>
  <c r="C104" i="96" l="1"/>
  <c r="E10" i="96" l="1"/>
  <c r="C10" i="96"/>
  <c r="A4" i="96"/>
  <c r="A2" i="96"/>
  <c r="E28" i="96"/>
  <c r="C28" i="96"/>
  <c r="E27" i="96"/>
  <c r="E26" i="96"/>
  <c r="G26" i="96" s="1"/>
  <c r="C25" i="96"/>
  <c r="G25" i="96" s="1"/>
  <c r="E22" i="96"/>
  <c r="C22" i="96"/>
  <c r="G20" i="96"/>
  <c r="E16" i="96"/>
  <c r="C16" i="96"/>
  <c r="G15" i="96"/>
  <c r="E8" i="96"/>
  <c r="G10" i="96" s="1"/>
  <c r="E1" i="96"/>
  <c r="G28" i="96" l="1"/>
  <c r="G27" i="96"/>
  <c r="G19" i="96"/>
  <c r="G21" i="96"/>
  <c r="G22" i="96"/>
  <c r="G16" i="96"/>
  <c r="G13" i="96"/>
  <c r="G14" i="96"/>
  <c r="G9" i="96"/>
  <c r="G7" i="96"/>
  <c r="B116" i="96" s="1"/>
  <c r="G8" i="96"/>
  <c r="D12" i="1"/>
  <c r="B114" i="96" l="1"/>
  <c r="C115" i="96" s="1"/>
  <c r="B110" i="96"/>
  <c r="B108" i="96"/>
  <c r="B106" i="96"/>
  <c r="B102" i="96"/>
  <c r="C102" i="96" s="1"/>
  <c r="C103" i="96" s="1"/>
  <c r="C16" i="1"/>
  <c r="C110" i="96" l="1"/>
  <c r="C107" i="96"/>
  <c r="C112" i="96"/>
  <c r="C111" i="96" s="1"/>
  <c r="C125" i="96"/>
  <c r="C127" i="96"/>
  <c r="C123" i="96"/>
  <c r="E123" i="96" s="1"/>
  <c r="C129" i="96"/>
  <c r="E129" i="96" s="1"/>
  <c r="E127" i="96" l="1"/>
  <c r="E133" i="96" s="1"/>
  <c r="G133" i="96" s="1"/>
  <c r="E125" i="96"/>
  <c r="E124" i="96" s="1"/>
  <c r="E105" i="96"/>
  <c r="E128" i="96" l="1"/>
  <c r="E131" i="96"/>
  <c r="G131" i="96" s="1"/>
  <c r="E117" i="96"/>
  <c r="E113" i="96"/>
  <c r="E119" i="96"/>
  <c r="H135" i="96"/>
  <c r="H132" i="96"/>
  <c r="L10" i="1"/>
  <c r="N10" i="1"/>
  <c r="H126" i="96" l="1"/>
  <c r="C22" i="1"/>
  <c r="H129" i="96" l="1"/>
  <c r="H114" i="96"/>
  <c r="H109" i="96"/>
  <c r="H121" i="96"/>
  <c r="H118" i="96"/>
  <c r="D17" i="1"/>
  <c r="B301" i="96" l="1"/>
  <c r="B303" i="96"/>
  <c r="B305" i="96"/>
  <c r="B302" i="96"/>
  <c r="B304" i="96"/>
  <c r="B300" i="96"/>
  <c r="B307" i="96"/>
  <c r="B308" i="96"/>
  <c r="B306" i="96"/>
  <c r="Q8" i="64" l="1"/>
  <c r="N9" i="1" l="1"/>
  <c r="N26" i="1"/>
  <c r="L26" i="1"/>
  <c r="H111" i="94" l="1"/>
  <c r="H108" i="94"/>
  <c r="H105" i="94"/>
  <c r="H102" i="94"/>
  <c r="I7" i="94"/>
  <c r="S8" i="94"/>
  <c r="U8" i="94"/>
  <c r="W8" i="94"/>
  <c r="Y8" i="94"/>
  <c r="Z8" i="94" s="1"/>
  <c r="AA8" i="94"/>
  <c r="AB8" i="94" s="1"/>
  <c r="S9" i="94"/>
  <c r="U9" i="94"/>
  <c r="W9" i="94"/>
  <c r="Y9" i="94"/>
  <c r="Z9" i="94" s="1"/>
  <c r="AA9" i="94"/>
  <c r="AB9" i="94" s="1"/>
  <c r="S10" i="94"/>
  <c r="U10" i="94"/>
  <c r="W10" i="94"/>
  <c r="Y10" i="94"/>
  <c r="Z10" i="94" s="1"/>
  <c r="AA10" i="94"/>
  <c r="AB10" i="94" s="1"/>
  <c r="S11" i="94"/>
  <c r="T11" i="94" s="1"/>
  <c r="U11" i="94"/>
  <c r="V11" i="94" s="1"/>
  <c r="W11" i="94"/>
  <c r="X11" i="94" s="1"/>
  <c r="Y11" i="94"/>
  <c r="Z11" i="94" s="1"/>
  <c r="AA11" i="94"/>
  <c r="AB11" i="94" s="1"/>
  <c r="S14" i="94"/>
  <c r="T14" i="94" s="1"/>
  <c r="U14" i="94"/>
  <c r="V14" i="94" s="1"/>
  <c r="W14" i="94"/>
  <c r="X14" i="94" s="1"/>
  <c r="Y14" i="94"/>
  <c r="Z14" i="94" s="1"/>
  <c r="AA14" i="94"/>
  <c r="AB14" i="94" s="1"/>
  <c r="S15" i="94"/>
  <c r="T15" i="94" s="1"/>
  <c r="U15" i="94"/>
  <c r="V15" i="94" s="1"/>
  <c r="W15" i="94"/>
  <c r="X15" i="94" s="1"/>
  <c r="Y15" i="94"/>
  <c r="Z15" i="94" s="1"/>
  <c r="AA15" i="94"/>
  <c r="AB15" i="94" s="1"/>
  <c r="S16" i="94"/>
  <c r="T16" i="94" s="1"/>
  <c r="U16" i="94"/>
  <c r="V16" i="94" s="1"/>
  <c r="W16" i="94"/>
  <c r="X16" i="94" s="1"/>
  <c r="Y16" i="94"/>
  <c r="Z16" i="94" s="1"/>
  <c r="AA16" i="94"/>
  <c r="AB16" i="94" s="1"/>
  <c r="S17" i="94"/>
  <c r="T17" i="94" s="1"/>
  <c r="U17" i="94"/>
  <c r="V17" i="94" s="1"/>
  <c r="W17" i="94"/>
  <c r="X17" i="94" s="1"/>
  <c r="Y17" i="94"/>
  <c r="Z17" i="94" s="1"/>
  <c r="AA17" i="94"/>
  <c r="AB17" i="94" s="1"/>
  <c r="S18" i="94"/>
  <c r="T18" i="94" s="1"/>
  <c r="U18" i="94"/>
  <c r="V18" i="94" s="1"/>
  <c r="W18" i="94"/>
  <c r="X18" i="94" s="1"/>
  <c r="Y18" i="94"/>
  <c r="Z18" i="94" s="1"/>
  <c r="AA18" i="94"/>
  <c r="AB18" i="94" s="1"/>
  <c r="S21" i="94"/>
  <c r="T21" i="94" s="1"/>
  <c r="U21" i="94"/>
  <c r="V21" i="94" s="1"/>
  <c r="W21" i="94"/>
  <c r="X21" i="94" s="1"/>
  <c r="Y21" i="94"/>
  <c r="Z21" i="94" s="1"/>
  <c r="AA21" i="94"/>
  <c r="AB21" i="94" s="1"/>
  <c r="S22" i="94"/>
  <c r="T22" i="94" s="1"/>
  <c r="U22" i="94"/>
  <c r="V22" i="94" s="1"/>
  <c r="W22" i="94"/>
  <c r="X22" i="94" s="1"/>
  <c r="Y22" i="94"/>
  <c r="Z22" i="94" s="1"/>
  <c r="AA22" i="94"/>
  <c r="AB22" i="94" s="1"/>
  <c r="S23" i="94"/>
  <c r="T23" i="94" s="1"/>
  <c r="U23" i="94"/>
  <c r="V23" i="94" s="1"/>
  <c r="W23" i="94"/>
  <c r="X23" i="94" s="1"/>
  <c r="Y23" i="94"/>
  <c r="Z23" i="94" s="1"/>
  <c r="AA23" i="94"/>
  <c r="AB23" i="94" s="1"/>
  <c r="S24" i="94"/>
  <c r="T24" i="94" s="1"/>
  <c r="U24" i="94"/>
  <c r="V24" i="94" s="1"/>
  <c r="W24" i="94"/>
  <c r="X24" i="94" s="1"/>
  <c r="Y24" i="94"/>
  <c r="Z24" i="94" s="1"/>
  <c r="AA24" i="94"/>
  <c r="AB24" i="94" s="1"/>
  <c r="S25" i="94"/>
  <c r="T25" i="94" s="1"/>
  <c r="U25" i="94"/>
  <c r="V25" i="94" s="1"/>
  <c r="W25" i="94"/>
  <c r="X25" i="94" s="1"/>
  <c r="Y25" i="94"/>
  <c r="Z25" i="94" s="1"/>
  <c r="AA25" i="94"/>
  <c r="AB25" i="94" s="1"/>
  <c r="S28" i="94"/>
  <c r="T28" i="94" s="1"/>
  <c r="U28" i="94"/>
  <c r="V28" i="94" s="1"/>
  <c r="W28" i="94"/>
  <c r="X28" i="94" s="1"/>
  <c r="Y28" i="94"/>
  <c r="Z28" i="94" s="1"/>
  <c r="AA28" i="94"/>
  <c r="AB28" i="94" s="1"/>
  <c r="S29" i="94"/>
  <c r="T29" i="94" s="1"/>
  <c r="U29" i="94"/>
  <c r="V29" i="94" s="1"/>
  <c r="W29" i="94"/>
  <c r="X29" i="94" s="1"/>
  <c r="Y29" i="94"/>
  <c r="Z29" i="94" s="1"/>
  <c r="AA29" i="94"/>
  <c r="AB29" i="94" s="1"/>
  <c r="S30" i="94"/>
  <c r="T30" i="94" s="1"/>
  <c r="U30" i="94"/>
  <c r="V30" i="94" s="1"/>
  <c r="W30" i="94"/>
  <c r="X30" i="94" s="1"/>
  <c r="Y30" i="94"/>
  <c r="Z30" i="94" s="1"/>
  <c r="AA30" i="94"/>
  <c r="AB30" i="94" s="1"/>
  <c r="S31" i="94"/>
  <c r="T31" i="94" s="1"/>
  <c r="U31" i="94"/>
  <c r="V31" i="94" s="1"/>
  <c r="W31" i="94"/>
  <c r="X31" i="94" s="1"/>
  <c r="Y31" i="94"/>
  <c r="Z31" i="94" s="1"/>
  <c r="AA31" i="94"/>
  <c r="AB31" i="94" s="1"/>
  <c r="S32" i="94"/>
  <c r="T32" i="94" s="1"/>
  <c r="U32" i="94"/>
  <c r="V32" i="94" s="1"/>
  <c r="W32" i="94"/>
  <c r="X32" i="94" s="1"/>
  <c r="Y32" i="94"/>
  <c r="Z32" i="94" s="1"/>
  <c r="AA32" i="94"/>
  <c r="AB32" i="94" s="1"/>
  <c r="S35" i="94"/>
  <c r="T35" i="94" s="1"/>
  <c r="U35" i="94"/>
  <c r="V35" i="94" s="1"/>
  <c r="W35" i="94"/>
  <c r="X35" i="94" s="1"/>
  <c r="Y35" i="94"/>
  <c r="Z35" i="94" s="1"/>
  <c r="AA35" i="94"/>
  <c r="AB35" i="94" s="1"/>
  <c r="S36" i="94"/>
  <c r="T36" i="94" s="1"/>
  <c r="U36" i="94"/>
  <c r="V36" i="94" s="1"/>
  <c r="W36" i="94"/>
  <c r="X36" i="94" s="1"/>
  <c r="Y36" i="94"/>
  <c r="Z36" i="94" s="1"/>
  <c r="AA36" i="94"/>
  <c r="AB36" i="94" s="1"/>
  <c r="S37" i="94"/>
  <c r="T37" i="94" s="1"/>
  <c r="U37" i="94"/>
  <c r="V37" i="94" s="1"/>
  <c r="W37" i="94"/>
  <c r="X37" i="94" s="1"/>
  <c r="Y37" i="94"/>
  <c r="Z37" i="94" s="1"/>
  <c r="AA37" i="94"/>
  <c r="AB37" i="94" s="1"/>
  <c r="S38" i="94"/>
  <c r="T38" i="94" s="1"/>
  <c r="U38" i="94"/>
  <c r="V38" i="94" s="1"/>
  <c r="W38" i="94"/>
  <c r="X38" i="94" s="1"/>
  <c r="Y38" i="94"/>
  <c r="Z38" i="94" s="1"/>
  <c r="AA38" i="94"/>
  <c r="AB38" i="94" s="1"/>
  <c r="S39" i="94"/>
  <c r="T39" i="94" s="1"/>
  <c r="U39" i="94"/>
  <c r="V39" i="94" s="1"/>
  <c r="W39" i="94"/>
  <c r="X39" i="94" s="1"/>
  <c r="Y39" i="94"/>
  <c r="Z39" i="94" s="1"/>
  <c r="AA39" i="94"/>
  <c r="AB39" i="94" s="1"/>
  <c r="S42" i="94"/>
  <c r="T42" i="94" s="1"/>
  <c r="U42" i="94"/>
  <c r="V42" i="94" s="1"/>
  <c r="W42" i="94"/>
  <c r="X42" i="94" s="1"/>
  <c r="Y42" i="94"/>
  <c r="Z42" i="94" s="1"/>
  <c r="AA42" i="94"/>
  <c r="AB42" i="94" s="1"/>
  <c r="S43" i="94"/>
  <c r="T43" i="94" s="1"/>
  <c r="U43" i="94"/>
  <c r="V43" i="94" s="1"/>
  <c r="W43" i="94"/>
  <c r="X43" i="94" s="1"/>
  <c r="Y43" i="94"/>
  <c r="Z43" i="94" s="1"/>
  <c r="AA43" i="94"/>
  <c r="AB43" i="94" s="1"/>
  <c r="S44" i="94"/>
  <c r="T44" i="94" s="1"/>
  <c r="U44" i="94"/>
  <c r="V44" i="94" s="1"/>
  <c r="W44" i="94"/>
  <c r="X44" i="94" s="1"/>
  <c r="Y44" i="94"/>
  <c r="Z44" i="94" s="1"/>
  <c r="AA44" i="94"/>
  <c r="AB44" i="94" s="1"/>
  <c r="S45" i="94"/>
  <c r="T45" i="94" s="1"/>
  <c r="U45" i="94"/>
  <c r="V45" i="94" s="1"/>
  <c r="W45" i="94"/>
  <c r="X45" i="94" s="1"/>
  <c r="Y45" i="94"/>
  <c r="Z45" i="94" s="1"/>
  <c r="AA45" i="94"/>
  <c r="AB45" i="94" s="1"/>
  <c r="S46" i="94"/>
  <c r="T46" i="94" s="1"/>
  <c r="U46" i="94"/>
  <c r="V46" i="94" s="1"/>
  <c r="W46" i="94"/>
  <c r="X46" i="94" s="1"/>
  <c r="Y46" i="94"/>
  <c r="Z46" i="94" s="1"/>
  <c r="AA46" i="94"/>
  <c r="AB46" i="94" s="1"/>
  <c r="S49" i="94"/>
  <c r="T49" i="94" s="1"/>
  <c r="U49" i="94"/>
  <c r="V49" i="94" s="1"/>
  <c r="W49" i="94"/>
  <c r="X49" i="94" s="1"/>
  <c r="Y49" i="94"/>
  <c r="Z49" i="94" s="1"/>
  <c r="AA49" i="94"/>
  <c r="AB49" i="94" s="1"/>
  <c r="S50" i="94"/>
  <c r="T50" i="94" s="1"/>
  <c r="U50" i="94"/>
  <c r="V50" i="94" s="1"/>
  <c r="W50" i="94"/>
  <c r="X50" i="94" s="1"/>
  <c r="Y50" i="94"/>
  <c r="Z50" i="94" s="1"/>
  <c r="AA50" i="94"/>
  <c r="AB50" i="94" s="1"/>
  <c r="S51" i="94"/>
  <c r="T51" i="94" s="1"/>
  <c r="U51" i="94"/>
  <c r="V51" i="94" s="1"/>
  <c r="W51" i="94"/>
  <c r="X51" i="94" s="1"/>
  <c r="Y51" i="94"/>
  <c r="Z51" i="94" s="1"/>
  <c r="AA51" i="94"/>
  <c r="AB51" i="94" s="1"/>
  <c r="S52" i="94"/>
  <c r="T52" i="94" s="1"/>
  <c r="U52" i="94"/>
  <c r="V52" i="94" s="1"/>
  <c r="W52" i="94"/>
  <c r="X52" i="94" s="1"/>
  <c r="Y52" i="94"/>
  <c r="Z52" i="94" s="1"/>
  <c r="AA52" i="94"/>
  <c r="AB52" i="94" s="1"/>
  <c r="S53" i="94"/>
  <c r="T53" i="94" s="1"/>
  <c r="U53" i="94"/>
  <c r="V53" i="94" s="1"/>
  <c r="W53" i="94"/>
  <c r="X53" i="94" s="1"/>
  <c r="Y53" i="94"/>
  <c r="Z53" i="94" s="1"/>
  <c r="AA53" i="94"/>
  <c r="AB53" i="94" s="1"/>
  <c r="S56" i="94"/>
  <c r="T56" i="94" s="1"/>
  <c r="U56" i="94"/>
  <c r="V56" i="94" s="1"/>
  <c r="W56" i="94"/>
  <c r="X56" i="94" s="1"/>
  <c r="Y56" i="94"/>
  <c r="Z56" i="94" s="1"/>
  <c r="AA56" i="94"/>
  <c r="AB56" i="94" s="1"/>
  <c r="S57" i="94"/>
  <c r="T57" i="94" s="1"/>
  <c r="U57" i="94"/>
  <c r="V57" i="94" s="1"/>
  <c r="W57" i="94"/>
  <c r="X57" i="94" s="1"/>
  <c r="Y57" i="94"/>
  <c r="Z57" i="94" s="1"/>
  <c r="AA57" i="94"/>
  <c r="AB57" i="94" s="1"/>
  <c r="S58" i="94"/>
  <c r="T58" i="94" s="1"/>
  <c r="U58" i="94"/>
  <c r="V58" i="94" s="1"/>
  <c r="W58" i="94"/>
  <c r="X58" i="94" s="1"/>
  <c r="Y58" i="94"/>
  <c r="Z58" i="94" s="1"/>
  <c r="AA58" i="94"/>
  <c r="AB58" i="94" s="1"/>
  <c r="S59" i="94"/>
  <c r="T59" i="94" s="1"/>
  <c r="U59" i="94"/>
  <c r="V59" i="94" s="1"/>
  <c r="W59" i="94"/>
  <c r="X59" i="94" s="1"/>
  <c r="Y59" i="94"/>
  <c r="Z59" i="94" s="1"/>
  <c r="AA59" i="94"/>
  <c r="AB59" i="94" s="1"/>
  <c r="S60" i="94"/>
  <c r="T60" i="94"/>
  <c r="U60" i="94"/>
  <c r="V60" i="94"/>
  <c r="W60" i="94"/>
  <c r="X60" i="94"/>
  <c r="Y60" i="94"/>
  <c r="Z60" i="94"/>
  <c r="AA60" i="94"/>
  <c r="AB60" i="94"/>
  <c r="AA7" i="94"/>
  <c r="AB7" i="94" s="1"/>
  <c r="Y7" i="94"/>
  <c r="Z7" i="94" s="1"/>
  <c r="W7" i="94"/>
  <c r="U7" i="94"/>
  <c r="S7" i="94"/>
  <c r="R52" i="94" l="1"/>
  <c r="R42" i="94"/>
  <c r="R35" i="94"/>
  <c r="R23" i="94"/>
  <c r="R11" i="94"/>
  <c r="R58" i="94"/>
  <c r="R46" i="94"/>
  <c r="R29" i="94"/>
  <c r="R17" i="94"/>
  <c r="R50" i="94"/>
  <c r="R44" i="94"/>
  <c r="R38" i="94"/>
  <c r="R31" i="94"/>
  <c r="R25" i="94"/>
  <c r="R21" i="94"/>
  <c r="R15" i="94"/>
  <c r="R60" i="94"/>
  <c r="R56" i="94"/>
  <c r="R59" i="94"/>
  <c r="R51" i="94"/>
  <c r="R43" i="94"/>
  <c r="R39" i="94"/>
  <c r="R57" i="94"/>
  <c r="R53" i="94"/>
  <c r="R49" i="94"/>
  <c r="R45" i="94"/>
  <c r="R37" i="94"/>
  <c r="R36" i="94"/>
  <c r="R18" i="94"/>
  <c r="R14" i="94"/>
  <c r="R32" i="94"/>
  <c r="R30" i="94"/>
  <c r="R28" i="94"/>
  <c r="R24" i="94"/>
  <c r="R22" i="94"/>
  <c r="R16" i="94"/>
  <c r="H60" i="94" l="1"/>
  <c r="J60" i="94" s="1"/>
  <c r="H59" i="94"/>
  <c r="J59" i="94" s="1"/>
  <c r="H58" i="94"/>
  <c r="J58" i="94" s="1"/>
  <c r="H57" i="94"/>
  <c r="J57" i="94" s="1"/>
  <c r="H56" i="94"/>
  <c r="J56" i="94" s="1"/>
  <c r="L56" i="94" s="1"/>
  <c r="M55" i="94"/>
  <c r="I60" i="94" s="1"/>
  <c r="J53" i="94"/>
  <c r="H53" i="94"/>
  <c r="H52" i="94"/>
  <c r="J52" i="94" s="1"/>
  <c r="H51" i="94"/>
  <c r="J51" i="94" s="1"/>
  <c r="H50" i="94"/>
  <c r="J50" i="94" s="1"/>
  <c r="H49" i="94"/>
  <c r="J49" i="94" s="1"/>
  <c r="M48" i="94"/>
  <c r="H46" i="94"/>
  <c r="J46" i="94" s="1"/>
  <c r="H45" i="94"/>
  <c r="J45" i="94" s="1"/>
  <c r="H44" i="94"/>
  <c r="J44" i="94" s="1"/>
  <c r="H43" i="94"/>
  <c r="J43" i="94" s="1"/>
  <c r="H42" i="94"/>
  <c r="J42" i="94" s="1"/>
  <c r="M41" i="94"/>
  <c r="I45" i="94" s="1"/>
  <c r="H39" i="94"/>
  <c r="J39" i="94" s="1"/>
  <c r="H38" i="94"/>
  <c r="J38" i="94" s="1"/>
  <c r="H37" i="94"/>
  <c r="J37" i="94" s="1"/>
  <c r="H36" i="94"/>
  <c r="J36" i="94" s="1"/>
  <c r="H35" i="94"/>
  <c r="J35" i="94" s="1"/>
  <c r="M34" i="94"/>
  <c r="I39" i="94" s="1"/>
  <c r="H32" i="94"/>
  <c r="J32" i="94" s="1"/>
  <c r="H31" i="94"/>
  <c r="J31" i="94" s="1"/>
  <c r="H30" i="94"/>
  <c r="J30" i="94" s="1"/>
  <c r="H29" i="94"/>
  <c r="J29" i="94" s="1"/>
  <c r="H28" i="94"/>
  <c r="J28" i="94" s="1"/>
  <c r="M27" i="94"/>
  <c r="I32" i="94" s="1"/>
  <c r="I25" i="94"/>
  <c r="H25" i="94"/>
  <c r="J25" i="94" s="1"/>
  <c r="I24" i="94"/>
  <c r="H24" i="94"/>
  <c r="J24" i="94" s="1"/>
  <c r="I23" i="94"/>
  <c r="H23" i="94"/>
  <c r="J23" i="94" s="1"/>
  <c r="I22" i="94"/>
  <c r="H22" i="94"/>
  <c r="J22" i="94" s="1"/>
  <c r="I21" i="94"/>
  <c r="H21" i="94"/>
  <c r="J21" i="94" s="1"/>
  <c r="M20" i="94"/>
  <c r="H18" i="94"/>
  <c r="J18" i="94" s="1"/>
  <c r="H17" i="94"/>
  <c r="J17" i="94" s="1"/>
  <c r="H16" i="94"/>
  <c r="J16" i="94" s="1"/>
  <c r="H15" i="94"/>
  <c r="J15" i="94" s="1"/>
  <c r="H14" i="94"/>
  <c r="J14" i="94" s="1"/>
  <c r="M13" i="94"/>
  <c r="I18" i="94" s="1"/>
  <c r="H11" i="94"/>
  <c r="J11" i="94" s="1"/>
  <c r="H10" i="94"/>
  <c r="J10" i="94" s="1"/>
  <c r="H9" i="94"/>
  <c r="J9" i="94" s="1"/>
  <c r="H8" i="94"/>
  <c r="J8" i="94" s="1"/>
  <c r="H7" i="94"/>
  <c r="J7" i="94" s="1"/>
  <c r="M6" i="94"/>
  <c r="A4" i="94"/>
  <c r="A2" i="94"/>
  <c r="D1" i="94"/>
  <c r="I29" i="94" l="1"/>
  <c r="I36" i="94"/>
  <c r="I57" i="94"/>
  <c r="I31" i="94"/>
  <c r="I38" i="94"/>
  <c r="I44" i="94"/>
  <c r="I11" i="94"/>
  <c r="K8" i="94"/>
  <c r="L8" i="94"/>
  <c r="K10" i="94"/>
  <c r="L10" i="94"/>
  <c r="L15" i="94"/>
  <c r="K15" i="94"/>
  <c r="L17" i="94"/>
  <c r="K17" i="94"/>
  <c r="K28" i="94"/>
  <c r="L28" i="94"/>
  <c r="K35" i="94"/>
  <c r="L35" i="94"/>
  <c r="L36" i="94"/>
  <c r="K36" i="94"/>
  <c r="K37" i="94"/>
  <c r="L37" i="94"/>
  <c r="L38" i="94"/>
  <c r="K38" i="94"/>
  <c r="K39" i="94"/>
  <c r="L39" i="94"/>
  <c r="K43" i="94"/>
  <c r="L43" i="94"/>
  <c r="L44" i="94"/>
  <c r="K44" i="94"/>
  <c r="K45" i="94"/>
  <c r="L45" i="94"/>
  <c r="L46" i="94"/>
  <c r="K46" i="94"/>
  <c r="L49" i="94"/>
  <c r="K49" i="94"/>
  <c r="L7" i="94"/>
  <c r="K7" i="94"/>
  <c r="L9" i="94"/>
  <c r="K9" i="94"/>
  <c r="L11" i="94"/>
  <c r="K11" i="94"/>
  <c r="K14" i="94"/>
  <c r="M14" i="94" s="1"/>
  <c r="K16" i="94"/>
  <c r="L16" i="94"/>
  <c r="K18" i="94"/>
  <c r="L18" i="94"/>
  <c r="K21" i="94"/>
  <c r="L21" i="94"/>
  <c r="L22" i="94"/>
  <c r="K22" i="94"/>
  <c r="K23" i="94"/>
  <c r="L23" i="94"/>
  <c r="L24" i="94"/>
  <c r="K24" i="94"/>
  <c r="K25" i="94"/>
  <c r="L25" i="94"/>
  <c r="L29" i="94"/>
  <c r="K29" i="94"/>
  <c r="K30" i="94"/>
  <c r="L30" i="94"/>
  <c r="L31" i="94"/>
  <c r="K31" i="94"/>
  <c r="K32" i="94"/>
  <c r="L32" i="94"/>
  <c r="K42" i="94"/>
  <c r="M42" i="94" s="1"/>
  <c r="K50" i="94"/>
  <c r="L50" i="94"/>
  <c r="M50" i="94" s="1"/>
  <c r="I15" i="94"/>
  <c r="I17" i="94"/>
  <c r="I46" i="94"/>
  <c r="I53" i="94"/>
  <c r="I51" i="94"/>
  <c r="I49" i="94"/>
  <c r="K51" i="94"/>
  <c r="I52" i="94"/>
  <c r="K53" i="94"/>
  <c r="L57" i="94"/>
  <c r="K57" i="94"/>
  <c r="M57" i="94" s="1"/>
  <c r="K58" i="94"/>
  <c r="L58" i="94"/>
  <c r="M58" i="94" s="1"/>
  <c r="L59" i="94"/>
  <c r="K59" i="94"/>
  <c r="M59" i="94" s="1"/>
  <c r="I14" i="94"/>
  <c r="I16" i="94"/>
  <c r="I28" i="94"/>
  <c r="I30" i="94"/>
  <c r="I35" i="94"/>
  <c r="I37" i="94"/>
  <c r="I42" i="94"/>
  <c r="I43" i="94"/>
  <c r="I50" i="94"/>
  <c r="L51" i="94"/>
  <c r="L52" i="94"/>
  <c r="K52" i="94"/>
  <c r="M52" i="94" s="1"/>
  <c r="L53" i="94"/>
  <c r="M53" i="94" s="1"/>
  <c r="K56" i="94"/>
  <c r="M56" i="94" s="1"/>
  <c r="K60" i="94"/>
  <c r="L60" i="94"/>
  <c r="I59" i="94"/>
  <c r="I56" i="94"/>
  <c r="I58" i="94"/>
  <c r="M9" i="94" l="1"/>
  <c r="M7" i="94"/>
  <c r="M49" i="94"/>
  <c r="M17" i="94"/>
  <c r="M31" i="94"/>
  <c r="M46" i="94"/>
  <c r="M45" i="94"/>
  <c r="M44" i="94"/>
  <c r="M43" i="94"/>
  <c r="M38" i="94"/>
  <c r="M36" i="94"/>
  <c r="M15" i="94"/>
  <c r="M30" i="94"/>
  <c r="M29" i="94"/>
  <c r="M24" i="94"/>
  <c r="M23" i="94"/>
  <c r="M22" i="94"/>
  <c r="M18" i="94"/>
  <c r="M16" i="94"/>
  <c r="M60" i="94"/>
  <c r="M51" i="94"/>
  <c r="M25" i="94"/>
  <c r="M39" i="94"/>
  <c r="M37" i="94"/>
  <c r="M35" i="94"/>
  <c r="M28" i="94"/>
  <c r="M10" i="94"/>
  <c r="I10" i="94" s="1"/>
  <c r="M8" i="94"/>
  <c r="M32" i="94"/>
  <c r="M21" i="94"/>
  <c r="M11" i="94"/>
  <c r="I8" i="94" l="1"/>
  <c r="I9" i="94"/>
  <c r="E5" i="87" l="1"/>
  <c r="B302" i="94" l="1"/>
  <c r="B303" i="94"/>
  <c r="B301" i="94"/>
  <c r="B300" i="94"/>
  <c r="P41" i="64" s="1"/>
  <c r="C16" i="87"/>
  <c r="P9" i="64" l="1"/>
  <c r="P11" i="64"/>
  <c r="P13" i="64"/>
  <c r="P15" i="64"/>
  <c r="I15" i="64" s="1"/>
  <c r="P17" i="64"/>
  <c r="I17" i="64" s="1"/>
  <c r="P19" i="64"/>
  <c r="P21" i="64"/>
  <c r="P23" i="64"/>
  <c r="P25" i="64"/>
  <c r="P27" i="64"/>
  <c r="P29" i="64"/>
  <c r="P31" i="64"/>
  <c r="P33" i="64"/>
  <c r="P35" i="64"/>
  <c r="P37" i="64"/>
  <c r="P39" i="64"/>
  <c r="P43" i="64"/>
  <c r="I43" i="64" s="1"/>
  <c r="P45" i="64"/>
  <c r="P47" i="64"/>
  <c r="P49" i="64"/>
  <c r="I49" i="64" s="1"/>
  <c r="P51" i="64"/>
  <c r="P53" i="64"/>
  <c r="P10" i="64"/>
  <c r="P12" i="64"/>
  <c r="P14" i="64"/>
  <c r="I14" i="64" s="1"/>
  <c r="P16" i="64"/>
  <c r="P18" i="64"/>
  <c r="P20" i="64"/>
  <c r="P22" i="64"/>
  <c r="P24" i="64"/>
  <c r="I24" i="64" s="1"/>
  <c r="P26" i="64"/>
  <c r="I26" i="64" s="1"/>
  <c r="P28" i="64"/>
  <c r="P30" i="64"/>
  <c r="P32" i="64"/>
  <c r="P34" i="64"/>
  <c r="P36" i="64"/>
  <c r="P38" i="64"/>
  <c r="P40" i="64"/>
  <c r="P42" i="64"/>
  <c r="P44" i="64"/>
  <c r="P46" i="64"/>
  <c r="P48" i="64"/>
  <c r="P50" i="64"/>
  <c r="P52" i="64"/>
  <c r="P8" i="64"/>
  <c r="I20" i="64" l="1"/>
  <c r="I12" i="64"/>
  <c r="I11" i="64"/>
  <c r="I22" i="64"/>
  <c r="I10" i="64"/>
  <c r="I21" i="64"/>
  <c r="I13" i="64"/>
  <c r="V8" i="130" s="1"/>
  <c r="I9" i="64"/>
  <c r="X7" i="130"/>
  <c r="T7" i="130"/>
  <c r="X10" i="130"/>
  <c r="T9" i="130"/>
  <c r="V9" i="130"/>
  <c r="T11" i="130"/>
  <c r="T8" i="130"/>
  <c r="AC49" i="64"/>
  <c r="J49" i="64"/>
  <c r="Q15" i="100"/>
  <c r="AE49" i="64"/>
  <c r="AD49" i="64"/>
  <c r="C7" i="1"/>
  <c r="F5" i="87"/>
  <c r="N49" i="64" l="1"/>
  <c r="K49" i="64"/>
  <c r="C84" i="93"/>
  <c r="C72" i="93"/>
  <c r="B301" i="93"/>
  <c r="B302" i="93"/>
  <c r="B303" i="93"/>
  <c r="B300" i="93"/>
  <c r="E16" i="93"/>
  <c r="C34" i="93"/>
  <c r="C46" i="93"/>
  <c r="E28" i="93"/>
  <c r="C28" i="93"/>
  <c r="E27" i="93"/>
  <c r="G27" i="93" s="1"/>
  <c r="E26" i="93"/>
  <c r="G26" i="93" s="1"/>
  <c r="C25" i="93"/>
  <c r="G25" i="93" s="1"/>
  <c r="E22" i="93"/>
  <c r="C22" i="93"/>
  <c r="E21" i="93"/>
  <c r="E20" i="93"/>
  <c r="G20" i="93" s="1"/>
  <c r="C19" i="93"/>
  <c r="C16" i="93"/>
  <c r="E15" i="93"/>
  <c r="C13" i="93"/>
  <c r="E8" i="93"/>
  <c r="G10" i="93" s="1"/>
  <c r="G14" i="93" l="1"/>
  <c r="G19" i="93"/>
  <c r="G21" i="93"/>
  <c r="G16" i="93"/>
  <c r="G13" i="93"/>
  <c r="G15" i="93"/>
  <c r="G28" i="93"/>
  <c r="G22" i="93"/>
  <c r="G9" i="93"/>
  <c r="G7" i="93"/>
  <c r="G8" i="93"/>
  <c r="B80" i="93" l="1"/>
  <c r="B76" i="93"/>
  <c r="C76" i="93" s="1"/>
  <c r="B82" i="93"/>
  <c r="C82" i="93" s="1"/>
  <c r="C83" i="93" s="1"/>
  <c r="B78" i="93"/>
  <c r="C78" i="93" s="1"/>
  <c r="B74" i="93"/>
  <c r="C74" i="93" s="1"/>
  <c r="C75" i="93" s="1"/>
  <c r="B70" i="93"/>
  <c r="C70" i="93" s="1"/>
  <c r="C71" i="93" s="1"/>
  <c r="E73" i="93" s="1"/>
  <c r="B42" i="93"/>
  <c r="B38" i="93"/>
  <c r="C37" i="93" s="1"/>
  <c r="E47" i="93" s="1"/>
  <c r="B44" i="93"/>
  <c r="B40" i="93"/>
  <c r="B36" i="93"/>
  <c r="C55" i="93" s="1"/>
  <c r="B32" i="93"/>
  <c r="C80" i="93" l="1"/>
  <c r="C79" i="93" s="1"/>
  <c r="E87" i="93" s="1"/>
  <c r="H86" i="93" s="1"/>
  <c r="E81" i="93"/>
  <c r="H77" i="93" s="1"/>
  <c r="E85" i="93"/>
  <c r="C57" i="93"/>
  <c r="C32" i="93"/>
  <c r="C41" i="93"/>
  <c r="E49" i="93" s="1"/>
  <c r="H51" i="93" s="1"/>
  <c r="C44" i="93"/>
  <c r="H89" i="93" l="1"/>
  <c r="H82" i="93"/>
  <c r="H48" i="93"/>
  <c r="C33" i="93"/>
  <c r="E35" i="93" s="1"/>
  <c r="C53" i="93"/>
  <c r="C45" i="93"/>
  <c r="C59" i="93"/>
  <c r="E57" i="93" s="1"/>
  <c r="E43" i="93"/>
  <c r="H44" i="93" s="1"/>
  <c r="H39" i="93" l="1"/>
  <c r="E59" i="93"/>
  <c r="E58" i="93" s="1"/>
  <c r="E53" i="93"/>
  <c r="E55" i="93"/>
  <c r="E54" i="93" l="1"/>
  <c r="H59" i="93" s="1"/>
  <c r="E61" i="93"/>
  <c r="E63" i="93"/>
  <c r="B305" i="93" l="1"/>
  <c r="H56" i="93"/>
  <c r="B304" i="93" s="1"/>
  <c r="G61" i="93"/>
  <c r="G63" i="93"/>
  <c r="H65" i="93" s="1"/>
  <c r="H62" i="93" l="1"/>
  <c r="B308" i="93" l="1"/>
  <c r="B309" i="93"/>
  <c r="B306" i="93"/>
  <c r="B307" i="93"/>
  <c r="A4" i="93" l="1"/>
  <c r="A3" i="93"/>
  <c r="A2" i="93"/>
  <c r="G1" i="93"/>
  <c r="M4" i="1" l="1"/>
  <c r="B23" i="64" l="1"/>
  <c r="A23" i="64" s="1"/>
  <c r="D23" i="64"/>
  <c r="C23" i="64" s="1"/>
  <c r="M23" i="64"/>
  <c r="L57" i="1" l="1"/>
  <c r="F23" i="87" l="1"/>
  <c r="A3" i="115" s="1"/>
  <c r="L9" i="1"/>
  <c r="I7" i="87"/>
  <c r="R62" i="88"/>
  <c r="R22" i="88"/>
  <c r="R27" i="88"/>
  <c r="A62" i="88"/>
  <c r="B62" i="88"/>
  <c r="A22" i="88"/>
  <c r="B22" i="88"/>
  <c r="C35" i="87" l="1"/>
  <c r="C36" i="87"/>
  <c r="F34" i="87" l="1"/>
  <c r="A3" i="123" s="1"/>
  <c r="F8" i="87" l="1"/>
  <c r="F49" i="87" l="1"/>
  <c r="F45" i="87"/>
  <c r="F42" i="87"/>
  <c r="A3" i="131" s="1"/>
  <c r="F41" i="87"/>
  <c r="A3" i="136" s="1"/>
  <c r="F38" i="87"/>
  <c r="A3" i="125" s="1"/>
  <c r="F37" i="87"/>
  <c r="A3" i="137" s="1"/>
  <c r="F33" i="87"/>
  <c r="F30" i="87"/>
  <c r="A3" i="140" s="1"/>
  <c r="F27" i="87"/>
  <c r="A3" i="141" s="1"/>
  <c r="F22" i="87"/>
  <c r="A3" i="142" s="1"/>
  <c r="F24" i="87"/>
  <c r="F18" i="87"/>
  <c r="A3" i="100" s="1"/>
  <c r="F17" i="87"/>
  <c r="A3" i="143" s="1"/>
  <c r="F16" i="87"/>
  <c r="F15" i="87"/>
  <c r="F12" i="87"/>
  <c r="A3" i="144" s="1"/>
  <c r="F9" i="87"/>
  <c r="A3" i="145" s="1"/>
  <c r="F7" i="87"/>
  <c r="B313" i="140" l="1"/>
  <c r="B309" i="140"/>
  <c r="B302" i="140"/>
  <c r="B315" i="140"/>
  <c r="B310" i="140"/>
  <c r="B304" i="140"/>
  <c r="B311" i="140"/>
  <c r="B307" i="140"/>
  <c r="B300" i="140"/>
  <c r="B312" i="140"/>
  <c r="B308" i="140"/>
  <c r="B301" i="140"/>
  <c r="A3" i="138"/>
  <c r="B301" i="131"/>
  <c r="B305" i="131"/>
  <c r="B309" i="131"/>
  <c r="B302" i="131"/>
  <c r="B306" i="131"/>
  <c r="B310" i="131"/>
  <c r="B303" i="131"/>
  <c r="B307" i="131"/>
  <c r="B300" i="131"/>
  <c r="B304" i="131"/>
  <c r="B308" i="131"/>
  <c r="A3" i="111"/>
  <c r="G15" i="1"/>
  <c r="AE39" i="88" l="1"/>
  <c r="AE9" i="88"/>
  <c r="AE11" i="88"/>
  <c r="AE13" i="88"/>
  <c r="AE15" i="88"/>
  <c r="AE17" i="88"/>
  <c r="AE19" i="88"/>
  <c r="AE21" i="88"/>
  <c r="AE23" i="88"/>
  <c r="AE25" i="88"/>
  <c r="AE27" i="88"/>
  <c r="AE29" i="88"/>
  <c r="AE31" i="88"/>
  <c r="AE33" i="88"/>
  <c r="AE35" i="88"/>
  <c r="AE37" i="88"/>
  <c r="AE40" i="88"/>
  <c r="AE42" i="88"/>
  <c r="AE44" i="88"/>
  <c r="AE46" i="88"/>
  <c r="AE48" i="88"/>
  <c r="AE50" i="88"/>
  <c r="AE52" i="88"/>
  <c r="AE54" i="88"/>
  <c r="AE56" i="88"/>
  <c r="AE58" i="88"/>
  <c r="AE60" i="88"/>
  <c r="AE62" i="88"/>
  <c r="AE64" i="88"/>
  <c r="AE66" i="88"/>
  <c r="AE8" i="88"/>
  <c r="AE10" i="88"/>
  <c r="AE12" i="88"/>
  <c r="AE14" i="88"/>
  <c r="AE16" i="88"/>
  <c r="AE18" i="88"/>
  <c r="AE20" i="88"/>
  <c r="AE22" i="88"/>
  <c r="AE24" i="88"/>
  <c r="AE26" i="88"/>
  <c r="AE28" i="88"/>
  <c r="AE30" i="88"/>
  <c r="AE32" i="88"/>
  <c r="AE34" i="88"/>
  <c r="AE36" i="88"/>
  <c r="AE38" i="88"/>
  <c r="AE41" i="88"/>
  <c r="AE43" i="88"/>
  <c r="AE45" i="88"/>
  <c r="AE47" i="88"/>
  <c r="AE49" i="88"/>
  <c r="AE51" i="88"/>
  <c r="AE53" i="88"/>
  <c r="AE55" i="88"/>
  <c r="AE57" i="88"/>
  <c r="AE59" i="88"/>
  <c r="AE61" i="88"/>
  <c r="AE63" i="88"/>
  <c r="AE65" i="88"/>
  <c r="AE7" i="88"/>
  <c r="AA39" i="88"/>
  <c r="AA8" i="88"/>
  <c r="AA12" i="88"/>
  <c r="AA15" i="88"/>
  <c r="AA19" i="88"/>
  <c r="AA23" i="88"/>
  <c r="AA27" i="88"/>
  <c r="AA31" i="88"/>
  <c r="AA35" i="88"/>
  <c r="AA41" i="88"/>
  <c r="AA45" i="88"/>
  <c r="AA49" i="88"/>
  <c r="AA53" i="88"/>
  <c r="AA57" i="88"/>
  <c r="AA61" i="88"/>
  <c r="AA65" i="88"/>
  <c r="AA9" i="88"/>
  <c r="AA13" i="88"/>
  <c r="AA18" i="88"/>
  <c r="AA22" i="88"/>
  <c r="AA26" i="88"/>
  <c r="AA30" i="88"/>
  <c r="AA34" i="88"/>
  <c r="AA38" i="88"/>
  <c r="AA42" i="88"/>
  <c r="AA46" i="88"/>
  <c r="AA50" i="88"/>
  <c r="AA54" i="88"/>
  <c r="AA58" i="88"/>
  <c r="AA62" i="88"/>
  <c r="AA66" i="88"/>
  <c r="AA10" i="88"/>
  <c r="AA14" i="88"/>
  <c r="AA17" i="88"/>
  <c r="AA21" i="88"/>
  <c r="AA25" i="88"/>
  <c r="AA29" i="88"/>
  <c r="AA33" i="88"/>
  <c r="AA37" i="88"/>
  <c r="AA43" i="88"/>
  <c r="AA47" i="88"/>
  <c r="AA51" i="88"/>
  <c r="AA55" i="88"/>
  <c r="AA59" i="88"/>
  <c r="AA63" i="88"/>
  <c r="AA7" i="88"/>
  <c r="AA11" i="88"/>
  <c r="AA16" i="88"/>
  <c r="AA20" i="88"/>
  <c r="AA24" i="88"/>
  <c r="AA28" i="88"/>
  <c r="AA32" i="88"/>
  <c r="AA36" i="88"/>
  <c r="AA40" i="88"/>
  <c r="AA44" i="88"/>
  <c r="AA48" i="88"/>
  <c r="AA52" i="88"/>
  <c r="AA56" i="88"/>
  <c r="AA60" i="88"/>
  <c r="AA64" i="88"/>
  <c r="C11" i="1"/>
  <c r="G13" i="1" l="1"/>
  <c r="H15" i="1" l="1"/>
  <c r="I39" i="1" l="1"/>
  <c r="I40" i="1"/>
  <c r="N11" i="1" l="1"/>
  <c r="L6" i="1" l="1"/>
  <c r="L5" i="1"/>
  <c r="K116" i="1" l="1"/>
  <c r="M65" i="1" l="1"/>
  <c r="M61" i="1"/>
  <c r="E49" i="87" l="1"/>
  <c r="H95" i="1" l="1"/>
  <c r="H105" i="1"/>
  <c r="L111" i="1"/>
  <c r="E36" i="87" l="1"/>
  <c r="E35" i="87"/>
  <c r="F35" i="87" l="1"/>
  <c r="AA5" i="64"/>
  <c r="Z5" i="64"/>
  <c r="AB5" i="64"/>
  <c r="E50" i="87"/>
  <c r="A1" i="133" s="1"/>
  <c r="E43" i="87"/>
  <c r="A1" i="130" s="1"/>
  <c r="E39" i="87"/>
  <c r="A1" i="126" s="1"/>
  <c r="Y5" i="64"/>
  <c r="E38" i="87"/>
  <c r="A1" i="125" s="1"/>
  <c r="X5" i="64"/>
  <c r="E34" i="87"/>
  <c r="A1" i="123" s="1"/>
  <c r="W5" i="64"/>
  <c r="V5" i="64"/>
  <c r="U5" i="64"/>
  <c r="E29" i="87"/>
  <c r="A1" i="118" s="1"/>
  <c r="E28" i="87"/>
  <c r="A1" i="117" s="1"/>
  <c r="AB7" i="64"/>
  <c r="AA7" i="64"/>
  <c r="Z7" i="64"/>
  <c r="Y7" i="64"/>
  <c r="X7" i="64"/>
  <c r="W7" i="64"/>
  <c r="V7" i="64"/>
  <c r="U7" i="64"/>
  <c r="T7" i="64"/>
  <c r="S7" i="64"/>
  <c r="R7" i="64"/>
  <c r="Q7" i="64"/>
  <c r="P7" i="64"/>
  <c r="T5" i="64"/>
  <c r="S5" i="64"/>
  <c r="E18" i="87"/>
  <c r="A1" i="100" s="1"/>
  <c r="E23" i="87"/>
  <c r="A1" i="115" s="1"/>
  <c r="C8" i="87"/>
  <c r="AG22" i="64" l="1"/>
  <c r="AG10" i="64"/>
  <c r="AG20" i="64"/>
  <c r="AG15" i="64"/>
  <c r="AG9" i="64"/>
  <c r="AG31" i="64"/>
  <c r="AG11" i="64"/>
  <c r="AG30" i="64"/>
  <c r="AG29" i="64"/>
  <c r="AG14" i="64"/>
  <c r="AG46" i="64"/>
  <c r="AG49" i="64"/>
  <c r="AG52" i="64"/>
  <c r="AG40" i="64"/>
  <c r="AG32" i="64"/>
  <c r="AG37" i="64"/>
  <c r="AG35" i="64"/>
  <c r="AG8" i="64"/>
  <c r="AG23" i="64"/>
  <c r="AG48" i="64"/>
  <c r="AG25" i="64"/>
  <c r="AG45" i="64"/>
  <c r="AG19" i="64"/>
  <c r="AG13" i="64"/>
  <c r="AG17" i="64"/>
  <c r="AG16" i="64"/>
  <c r="AG33" i="64"/>
  <c r="AG34" i="64"/>
  <c r="AG39" i="64"/>
  <c r="AG44" i="64"/>
  <c r="AG50" i="64"/>
  <c r="AG53" i="64"/>
  <c r="AG43" i="64"/>
  <c r="AG38" i="64"/>
  <c r="AG42" i="64"/>
  <c r="AG28" i="64"/>
  <c r="AG24" i="64"/>
  <c r="AG21" i="64"/>
  <c r="AG26" i="64"/>
  <c r="AG18" i="64"/>
  <c r="AG41" i="64"/>
  <c r="AG51" i="64"/>
  <c r="AG27" i="64"/>
  <c r="AG12" i="64"/>
  <c r="AG36" i="64"/>
  <c r="AG47" i="64"/>
  <c r="AF19" i="64"/>
  <c r="AF16" i="64"/>
  <c r="AF33" i="64"/>
  <c r="AF37" i="64"/>
  <c r="AF18" i="64"/>
  <c r="AF45" i="64"/>
  <c r="AF34" i="64"/>
  <c r="AF50" i="64"/>
  <c r="AF52" i="64"/>
  <c r="AF32" i="64"/>
  <c r="AF31" i="64"/>
  <c r="AF8" i="64"/>
  <c r="AF28" i="64"/>
  <c r="AF42" i="64"/>
  <c r="AF22" i="64"/>
  <c r="AF49" i="64"/>
  <c r="AF51" i="64"/>
  <c r="AF48" i="64"/>
  <c r="AF38" i="64"/>
  <c r="AF46" i="64"/>
  <c r="AF29" i="64"/>
  <c r="AF35" i="64"/>
  <c r="AF44" i="64"/>
  <c r="AF25" i="64"/>
  <c r="AF53" i="64"/>
  <c r="AF39" i="64"/>
  <c r="AF30" i="64"/>
  <c r="AF40" i="64"/>
  <c r="AF23" i="64"/>
  <c r="AF27" i="64"/>
  <c r="AF41" i="64"/>
  <c r="AF36" i="64"/>
  <c r="AF47" i="64"/>
  <c r="AF17" i="64"/>
  <c r="AF15" i="64"/>
  <c r="AF21" i="64"/>
  <c r="AF13" i="64"/>
  <c r="AF26" i="64"/>
  <c r="AF14" i="64"/>
  <c r="AF24" i="64"/>
  <c r="AF9" i="64"/>
  <c r="AF10" i="64"/>
  <c r="AF43" i="64"/>
  <c r="AF20" i="64"/>
  <c r="AF12" i="64"/>
  <c r="AF11" i="64"/>
  <c r="AH12" i="64"/>
  <c r="AI12" i="64" s="1"/>
  <c r="AH21" i="64"/>
  <c r="AI21" i="64" s="1"/>
  <c r="AH11" i="64"/>
  <c r="AI11" i="64" s="1"/>
  <c r="AH20" i="64"/>
  <c r="AI20" i="64" s="1"/>
  <c r="AH14" i="64"/>
  <c r="AI14" i="64" s="1"/>
  <c r="AH10" i="64"/>
  <c r="AI10" i="64" s="1"/>
  <c r="AH13" i="64"/>
  <c r="AI13" i="64" s="1"/>
  <c r="AH24" i="64"/>
  <c r="AI24" i="64" s="1"/>
  <c r="AH15" i="64"/>
  <c r="AI15" i="64" s="1"/>
  <c r="AH49" i="64"/>
  <c r="AI49" i="64" s="1"/>
  <c r="AH26" i="64"/>
  <c r="AI26" i="64" s="1"/>
  <c r="AH17" i="64"/>
  <c r="AI17" i="64" s="1"/>
  <c r="AH9" i="64"/>
  <c r="AI9" i="64" s="1"/>
  <c r="AH43" i="64"/>
  <c r="AI43" i="64" s="1"/>
  <c r="G67" i="1"/>
  <c r="G30" i="1"/>
  <c r="G41" i="1"/>
  <c r="M89" i="1"/>
  <c r="M91" i="1"/>
  <c r="G56" i="1"/>
  <c r="G53" i="1"/>
  <c r="G24" i="1"/>
  <c r="G18" i="1"/>
  <c r="G9" i="1"/>
  <c r="M114" i="1"/>
  <c r="K13" i="1"/>
  <c r="M13" i="1"/>
  <c r="M71" i="1" l="1"/>
  <c r="K71" i="1"/>
  <c r="M32" i="1" l="1"/>
  <c r="K32" i="1"/>
  <c r="H14" i="1" l="1"/>
  <c r="K67" i="1" l="1"/>
  <c r="I73" i="1" l="1"/>
  <c r="M73" i="1"/>
  <c r="K73" i="1"/>
  <c r="M74" i="1" l="1"/>
  <c r="K65" i="1"/>
  <c r="K54" i="1"/>
  <c r="M51" i="1"/>
  <c r="M43" i="1"/>
  <c r="K41" i="1"/>
  <c r="M33" i="1"/>
  <c r="K33" i="1"/>
  <c r="M27" i="1"/>
  <c r="K27" i="1"/>
  <c r="M19" i="1"/>
  <c r="K19" i="1"/>
  <c r="N20" i="1"/>
  <c r="M7" i="1" l="1"/>
  <c r="C7" i="87" l="1"/>
  <c r="AE67" i="88" l="1"/>
  <c r="AE68" i="88" s="1"/>
  <c r="I42" i="87" l="1"/>
  <c r="AE4" i="88"/>
  <c r="AD4" i="88"/>
  <c r="AC4" i="88"/>
  <c r="AB4" i="88"/>
  <c r="AA4" i="88"/>
  <c r="Z4" i="88"/>
  <c r="Y4" i="88"/>
  <c r="X4" i="88"/>
  <c r="W4" i="88"/>
  <c r="V4" i="88"/>
  <c r="AI67" i="88"/>
  <c r="R15" i="88"/>
  <c r="R52" i="88"/>
  <c r="R39" i="88"/>
  <c r="R16" i="88"/>
  <c r="B16" i="88"/>
  <c r="A16" i="88"/>
  <c r="R45" i="88"/>
  <c r="R17" i="88"/>
  <c r="R30" i="88"/>
  <c r="R56" i="88"/>
  <c r="B56" i="88"/>
  <c r="A56" i="88"/>
  <c r="R54" i="88"/>
  <c r="B54" i="88"/>
  <c r="A54" i="88"/>
  <c r="R19" i="88"/>
  <c r="R7" i="88"/>
  <c r="B7" i="88"/>
  <c r="R26" i="88"/>
  <c r="R8" i="88"/>
  <c r="B8" i="88"/>
  <c r="A8" i="88"/>
  <c r="R42" i="88"/>
  <c r="R46" i="88"/>
  <c r="R37" i="88"/>
  <c r="R43" i="88"/>
  <c r="B43" i="88"/>
  <c r="A43" i="88"/>
  <c r="R57" i="88"/>
  <c r="R28" i="88"/>
  <c r="R11" i="88"/>
  <c r="R10" i="88"/>
  <c r="R36" i="88"/>
  <c r="R20" i="88"/>
  <c r="B20" i="88"/>
  <c r="A20" i="88"/>
  <c r="R14" i="88"/>
  <c r="R61" i="88"/>
  <c r="B61" i="88"/>
  <c r="A61" i="88"/>
  <c r="R23" i="88"/>
  <c r="R40" i="88"/>
  <c r="R34" i="88"/>
  <c r="B34" i="88"/>
  <c r="A34" i="88"/>
  <c r="R38" i="88"/>
  <c r="R49" i="88"/>
  <c r="R21" i="88"/>
  <c r="R13" i="88"/>
  <c r="R12" i="88"/>
  <c r="R55" i="88"/>
  <c r="R25" i="88"/>
  <c r="B25" i="88"/>
  <c r="A25" i="88"/>
  <c r="R44" i="88"/>
  <c r="B44" i="88"/>
  <c r="A44" i="88"/>
  <c r="R51" i="88"/>
  <c r="B51" i="88"/>
  <c r="A51" i="88"/>
  <c r="R31" i="88"/>
  <c r="B31" i="88"/>
  <c r="A31" i="88"/>
  <c r="R41" i="88"/>
  <c r="R29" i="88"/>
  <c r="R24" i="88"/>
  <c r="R33" i="88"/>
  <c r="B33" i="88"/>
  <c r="A33" i="88"/>
  <c r="R9" i="88"/>
  <c r="B9" i="88"/>
  <c r="A9" i="88"/>
  <c r="R50" i="88"/>
  <c r="AI6" i="88"/>
  <c r="AE6" i="88"/>
  <c r="AD6" i="88"/>
  <c r="AC6" i="88"/>
  <c r="AB6" i="88"/>
  <c r="AA6" i="88"/>
  <c r="Z6" i="88"/>
  <c r="Y6" i="88"/>
  <c r="X6" i="88"/>
  <c r="W6" i="88"/>
  <c r="V6" i="88"/>
  <c r="B55" i="88" l="1"/>
  <c r="B12" i="88"/>
  <c r="B15" i="88"/>
  <c r="B14" i="88"/>
  <c r="B24" i="88"/>
  <c r="B46" i="88"/>
  <c r="B28" i="88" l="1"/>
  <c r="B30" i="88"/>
  <c r="B57" i="88"/>
  <c r="B36" i="88"/>
  <c r="AL18" i="136" l="1"/>
  <c r="A36" i="88"/>
  <c r="A24" i="88"/>
  <c r="A46" i="88"/>
  <c r="A55" i="88"/>
  <c r="A14" i="88"/>
  <c r="A15" i="88"/>
  <c r="A30" i="88"/>
  <c r="A12" i="88"/>
  <c r="A28" i="88"/>
  <c r="A57" i="88"/>
  <c r="R5" i="64" l="1"/>
  <c r="Q5" i="64"/>
  <c r="P5" i="64"/>
  <c r="F52" i="87" l="1"/>
  <c r="A3" i="134" s="1"/>
  <c r="E52" i="87"/>
  <c r="A1" i="134" s="1"/>
  <c r="E45" i="87"/>
  <c r="F48" i="87"/>
  <c r="E48" i="87"/>
  <c r="F31" i="87"/>
  <c r="A3" i="120" s="1"/>
  <c r="F44" i="87"/>
  <c r="E44" i="87"/>
  <c r="F39" i="87"/>
  <c r="A3" i="126" s="1"/>
  <c r="E41" i="87"/>
  <c r="A1" i="136" s="1"/>
  <c r="F43" i="87"/>
  <c r="A3" i="130" s="1"/>
  <c r="F36" i="87"/>
  <c r="F50" i="87"/>
  <c r="A3" i="133" s="1"/>
  <c r="E37" i="87"/>
  <c r="A1" i="137" s="1"/>
  <c r="F28" i="87"/>
  <c r="A3" i="117" s="1"/>
  <c r="E33" i="87"/>
  <c r="F29" i="87"/>
  <c r="A3" i="118" s="1"/>
  <c r="E27" i="87"/>
  <c r="A1" i="141" s="1"/>
  <c r="F26" i="87"/>
  <c r="E26" i="87"/>
  <c r="F19" i="87"/>
  <c r="E22" i="87"/>
  <c r="A1" i="142" s="1"/>
  <c r="E24" i="87"/>
  <c r="F21" i="87"/>
  <c r="E21" i="87"/>
  <c r="F20" i="87"/>
  <c r="A3" i="113" s="1"/>
  <c r="E20" i="87"/>
  <c r="A1" i="113" s="1"/>
  <c r="E17" i="87"/>
  <c r="A1" i="143" s="1"/>
  <c r="F13" i="87"/>
  <c r="A3" i="98" s="1"/>
  <c r="E13" i="87"/>
  <c r="A1" i="98" s="1"/>
  <c r="E12" i="87"/>
  <c r="A1" i="144" s="1"/>
  <c r="F10" i="87"/>
  <c r="E10" i="87"/>
  <c r="F11" i="87"/>
  <c r="A3" i="96" s="1"/>
  <c r="E11" i="87"/>
  <c r="A1" i="96" s="1"/>
  <c r="E9" i="87"/>
  <c r="A1" i="145" s="1"/>
  <c r="F6" i="87"/>
  <c r="E6" i="87"/>
  <c r="F1" i="87"/>
  <c r="B300" i="143" l="1"/>
  <c r="B302" i="143"/>
  <c r="B305" i="143"/>
  <c r="B307" i="143"/>
  <c r="B309" i="143"/>
  <c r="B311" i="143"/>
  <c r="B313" i="143"/>
  <c r="B301" i="143"/>
  <c r="B304" i="143"/>
  <c r="B306" i="143"/>
  <c r="B308" i="143"/>
  <c r="B310" i="143"/>
  <c r="B312" i="143"/>
  <c r="B314" i="143"/>
  <c r="B301" i="142"/>
  <c r="B303" i="142"/>
  <c r="B305" i="142"/>
  <c r="B307" i="142"/>
  <c r="B309" i="142"/>
  <c r="B311" i="142"/>
  <c r="B300" i="142"/>
  <c r="B302" i="142"/>
  <c r="B304" i="142"/>
  <c r="B306" i="142"/>
  <c r="B308" i="142"/>
  <c r="B310" i="142"/>
  <c r="B312" i="142"/>
  <c r="B300" i="141"/>
  <c r="B302" i="141"/>
  <c r="B305" i="141"/>
  <c r="B308" i="141"/>
  <c r="B311" i="141"/>
  <c r="B313" i="141"/>
  <c r="B301" i="141"/>
  <c r="B304" i="141"/>
  <c r="B307" i="141"/>
  <c r="B310" i="141"/>
  <c r="B312" i="141"/>
  <c r="A1" i="138"/>
  <c r="B311" i="137"/>
  <c r="B310" i="137"/>
  <c r="B303" i="137"/>
  <c r="B307" i="137"/>
  <c r="B300" i="137"/>
  <c r="B306" i="137"/>
  <c r="B301" i="137"/>
  <c r="B305" i="137"/>
  <c r="B309" i="137"/>
  <c r="B304" i="137"/>
  <c r="B312" i="136"/>
  <c r="B310" i="136"/>
  <c r="B311" i="136"/>
  <c r="B313" i="136"/>
  <c r="B301" i="136"/>
  <c r="B307" i="136"/>
  <c r="B302" i="136"/>
  <c r="B306" i="136"/>
  <c r="B303" i="136"/>
  <c r="B300" i="136"/>
  <c r="B304" i="136"/>
  <c r="B308" i="136"/>
  <c r="B300" i="145"/>
  <c r="B301" i="145"/>
  <c r="B304" i="145"/>
  <c r="B306" i="145"/>
  <c r="B308" i="145"/>
  <c r="B310" i="145"/>
  <c r="B303" i="145"/>
  <c r="B305" i="145"/>
  <c r="B307" i="145"/>
  <c r="B309" i="145"/>
  <c r="B311" i="145"/>
  <c r="B302" i="145"/>
  <c r="V7" i="88" s="1"/>
  <c r="B300" i="144"/>
  <c r="B302" i="144"/>
  <c r="B305" i="144"/>
  <c r="B307" i="144"/>
  <c r="B310" i="144"/>
  <c r="B313" i="144"/>
  <c r="B315" i="144"/>
  <c r="B301" i="144"/>
  <c r="B303" i="144"/>
  <c r="B306" i="144"/>
  <c r="B308" i="144"/>
  <c r="B312" i="144"/>
  <c r="B314" i="144"/>
  <c r="A3" i="94"/>
  <c r="A1" i="94"/>
  <c r="A1" i="111"/>
  <c r="A1" i="93"/>
  <c r="AD39" i="88" l="1"/>
  <c r="AD8" i="88"/>
  <c r="AD10" i="88"/>
  <c r="AD12" i="88"/>
  <c r="AD14" i="88"/>
  <c r="AD16" i="88"/>
  <c r="AD18" i="88"/>
  <c r="AD20" i="88"/>
  <c r="AD22" i="88"/>
  <c r="AD24" i="88"/>
  <c r="AD26" i="88"/>
  <c r="AD28" i="88"/>
  <c r="AD30" i="88"/>
  <c r="AD32" i="88"/>
  <c r="AD34" i="88"/>
  <c r="AD36" i="88"/>
  <c r="AD38" i="88"/>
  <c r="AD41" i="88"/>
  <c r="AD43" i="88"/>
  <c r="AD45" i="88"/>
  <c r="AD47" i="88"/>
  <c r="AD49" i="88"/>
  <c r="AD51" i="88"/>
  <c r="AD53" i="88"/>
  <c r="AD55" i="88"/>
  <c r="AD57" i="88"/>
  <c r="AD59" i="88"/>
  <c r="AD61" i="88"/>
  <c r="AD63" i="88"/>
  <c r="AD65" i="88"/>
  <c r="AD7" i="88"/>
  <c r="AD9" i="88"/>
  <c r="AD11" i="88"/>
  <c r="AD13" i="88"/>
  <c r="AD15" i="88"/>
  <c r="AD17" i="88"/>
  <c r="AD19" i="88"/>
  <c r="AD21" i="88"/>
  <c r="AD23" i="88"/>
  <c r="AD25" i="88"/>
  <c r="AD27" i="88"/>
  <c r="AD29" i="88"/>
  <c r="AD31" i="88"/>
  <c r="AD33" i="88"/>
  <c r="AD35" i="88"/>
  <c r="AD37" i="88"/>
  <c r="AD40" i="88"/>
  <c r="AD42" i="88"/>
  <c r="AD44" i="88"/>
  <c r="AD46" i="88"/>
  <c r="AD48" i="88"/>
  <c r="AD50" i="88"/>
  <c r="AD52" i="88"/>
  <c r="AD54" i="88"/>
  <c r="AD56" i="88"/>
  <c r="AD58" i="88"/>
  <c r="AD60" i="88"/>
  <c r="AD62" i="88"/>
  <c r="AD64" i="88"/>
  <c r="AD66" i="88"/>
  <c r="B303" i="138"/>
  <c r="B305" i="138"/>
  <c r="B307" i="138"/>
  <c r="B309" i="138"/>
  <c r="B300" i="138"/>
  <c r="B304" i="138"/>
  <c r="B306" i="138"/>
  <c r="B308" i="138"/>
  <c r="B301" i="138"/>
  <c r="Z39" i="88"/>
  <c r="Z11" i="88"/>
  <c r="Z15" i="88"/>
  <c r="Z19" i="88"/>
  <c r="Z23" i="88"/>
  <c r="Z27" i="88"/>
  <c r="Z31" i="88"/>
  <c r="Z35" i="88"/>
  <c r="Z41" i="88"/>
  <c r="Z45" i="88"/>
  <c r="Z49" i="88"/>
  <c r="Z53" i="88"/>
  <c r="Z57" i="88"/>
  <c r="Z61" i="88"/>
  <c r="Z65" i="88"/>
  <c r="Z8" i="88"/>
  <c r="Z12" i="88"/>
  <c r="Z16" i="88"/>
  <c r="Z20" i="88"/>
  <c r="Z24" i="88"/>
  <c r="Z28" i="88"/>
  <c r="Z32" i="88"/>
  <c r="Z36" i="88"/>
  <c r="Z40" i="88"/>
  <c r="Z44" i="88"/>
  <c r="Z48" i="88"/>
  <c r="Z52" i="88"/>
  <c r="Z56" i="88"/>
  <c r="Z60" i="88"/>
  <c r="Z64" i="88"/>
  <c r="Z9" i="88"/>
  <c r="Z13" i="88"/>
  <c r="Z17" i="88"/>
  <c r="Z21" i="88"/>
  <c r="Z25" i="88"/>
  <c r="Z29" i="88"/>
  <c r="Z33" i="88"/>
  <c r="Z37" i="88"/>
  <c r="Z43" i="88"/>
  <c r="Z47" i="88"/>
  <c r="Z51" i="88"/>
  <c r="Z55" i="88"/>
  <c r="Z59" i="88"/>
  <c r="Z63" i="88"/>
  <c r="Z7" i="88"/>
  <c r="Z10" i="88"/>
  <c r="Z14" i="88"/>
  <c r="Z18" i="88"/>
  <c r="Z22" i="88"/>
  <c r="Z26" i="88"/>
  <c r="Z30" i="88"/>
  <c r="Z34" i="88"/>
  <c r="Z38" i="88"/>
  <c r="Z42" i="88"/>
  <c r="Z46" i="88"/>
  <c r="Z50" i="88"/>
  <c r="Z54" i="88"/>
  <c r="Z58" i="88"/>
  <c r="Z62" i="88"/>
  <c r="Z66" i="88"/>
  <c r="W39" i="88"/>
  <c r="W9" i="88"/>
  <c r="W13" i="88"/>
  <c r="W17" i="88"/>
  <c r="W21" i="88"/>
  <c r="W25" i="88"/>
  <c r="W29" i="88"/>
  <c r="W33" i="88"/>
  <c r="W37" i="88"/>
  <c r="W43" i="88"/>
  <c r="W47" i="88"/>
  <c r="W51" i="88"/>
  <c r="W55" i="88"/>
  <c r="W59" i="88"/>
  <c r="W63" i="88"/>
  <c r="W7" i="88"/>
  <c r="W10" i="88"/>
  <c r="W14" i="88"/>
  <c r="W18" i="88"/>
  <c r="W22" i="88"/>
  <c r="W26" i="88"/>
  <c r="W30" i="88"/>
  <c r="W34" i="88"/>
  <c r="W38" i="88"/>
  <c r="W42" i="88"/>
  <c r="W46" i="88"/>
  <c r="W50" i="88"/>
  <c r="W54" i="88"/>
  <c r="W58" i="88"/>
  <c r="W62" i="88"/>
  <c r="W66" i="88"/>
  <c r="W11" i="88"/>
  <c r="W15" i="88"/>
  <c r="W19" i="88"/>
  <c r="W23" i="88"/>
  <c r="W27" i="88"/>
  <c r="W31" i="88"/>
  <c r="W35" i="88"/>
  <c r="W41" i="88"/>
  <c r="W45" i="88"/>
  <c r="W49" i="88"/>
  <c r="W53" i="88"/>
  <c r="W57" i="88"/>
  <c r="W61" i="88"/>
  <c r="W65" i="88"/>
  <c r="W8" i="88"/>
  <c r="W12" i="88"/>
  <c r="W16" i="88"/>
  <c r="W20" i="88"/>
  <c r="W24" i="88"/>
  <c r="W28" i="88"/>
  <c r="W32" i="88"/>
  <c r="W36" i="88"/>
  <c r="W40" i="88"/>
  <c r="W44" i="88"/>
  <c r="W48" i="88"/>
  <c r="W52" i="88"/>
  <c r="W56" i="88"/>
  <c r="W60" i="88"/>
  <c r="W64" i="88"/>
  <c r="V39" i="88"/>
  <c r="V26" i="88"/>
  <c r="V27" i="88"/>
  <c r="V23" i="88"/>
  <c r="V17" i="88"/>
  <c r="V13" i="88"/>
  <c r="V9" i="88"/>
  <c r="V50" i="88"/>
  <c r="V42" i="88"/>
  <c r="V28" i="88"/>
  <c r="V22" i="88"/>
  <c r="V16" i="88"/>
  <c r="V10" i="88"/>
  <c r="V51" i="88"/>
  <c r="V25" i="88"/>
  <c r="V21" i="88"/>
  <c r="V15" i="88"/>
  <c r="V11" i="88"/>
  <c r="V54" i="88"/>
  <c r="V44" i="88"/>
  <c r="V38" i="88"/>
  <c r="V24" i="88"/>
  <c r="V20" i="88"/>
  <c r="V12" i="88"/>
  <c r="V8" i="88"/>
  <c r="V65" i="88"/>
  <c r="V57" i="88"/>
  <c r="V46" i="88"/>
  <c r="V35" i="88"/>
  <c r="V18" i="88"/>
  <c r="V60" i="88"/>
  <c r="V49" i="88"/>
  <c r="V34" i="88"/>
  <c r="V14" i="88"/>
  <c r="V59" i="88"/>
  <c r="V48" i="88"/>
  <c r="V37" i="88"/>
  <c r="V29" i="88"/>
  <c r="V62" i="88"/>
  <c r="V53" i="88"/>
  <c r="V41" i="88"/>
  <c r="V32" i="88"/>
  <c r="V61" i="88"/>
  <c r="V52" i="88"/>
  <c r="V40" i="88"/>
  <c r="V31" i="88"/>
  <c r="V64" i="88"/>
  <c r="V56" i="88"/>
  <c r="V45" i="88"/>
  <c r="V30" i="88"/>
  <c r="V63" i="88"/>
  <c r="V55" i="88"/>
  <c r="V43" i="88"/>
  <c r="V33" i="88"/>
  <c r="V66" i="88"/>
  <c r="V58" i="88"/>
  <c r="V47" i="88"/>
  <c r="V36" i="88"/>
  <c r="V19" i="88"/>
  <c r="AC7" i="88"/>
  <c r="AC39" i="88"/>
  <c r="AC8" i="88"/>
  <c r="AC12" i="88"/>
  <c r="AC16" i="88"/>
  <c r="AC20" i="88"/>
  <c r="AC24" i="88"/>
  <c r="AC28" i="88"/>
  <c r="AC33" i="88"/>
  <c r="AC37" i="88"/>
  <c r="AC43" i="88"/>
  <c r="AC47" i="88"/>
  <c r="AC51" i="88"/>
  <c r="AC55" i="88"/>
  <c r="AC59" i="88"/>
  <c r="AC63" i="88"/>
  <c r="AC9" i="88"/>
  <c r="AC13" i="88"/>
  <c r="AC17" i="88"/>
  <c r="AC21" i="88"/>
  <c r="AC25" i="88"/>
  <c r="AC30" i="88"/>
  <c r="AC34" i="88"/>
  <c r="AC38" i="88"/>
  <c r="AC42" i="88"/>
  <c r="AC46" i="88"/>
  <c r="AC50" i="88"/>
  <c r="AC54" i="88"/>
  <c r="AC58" i="88"/>
  <c r="AC62" i="88"/>
  <c r="AC66" i="88"/>
  <c r="AC10" i="88"/>
  <c r="AC14" i="88"/>
  <c r="AC18" i="88"/>
  <c r="AC22" i="88"/>
  <c r="AC26" i="88"/>
  <c r="AC31" i="88"/>
  <c r="AC35" i="88"/>
  <c r="AC41" i="88"/>
  <c r="AC45" i="88"/>
  <c r="AC49" i="88"/>
  <c r="AC53" i="88"/>
  <c r="AC57" i="88"/>
  <c r="AC61" i="88"/>
  <c r="AC65" i="88"/>
  <c r="AC11" i="88"/>
  <c r="AC15" i="88"/>
  <c r="AC19" i="88"/>
  <c r="AC23" i="88"/>
  <c r="AC27" i="88"/>
  <c r="AC32" i="88"/>
  <c r="AC36" i="88"/>
  <c r="AC40" i="88"/>
  <c r="AC44" i="88"/>
  <c r="AC48" i="88"/>
  <c r="AC52" i="88"/>
  <c r="AC56" i="88"/>
  <c r="AC60" i="88"/>
  <c r="AC64" i="88"/>
  <c r="AC29" i="88"/>
  <c r="Y39" i="88"/>
  <c r="Y9" i="88"/>
  <c r="Y13" i="88"/>
  <c r="Y17" i="88"/>
  <c r="Y21" i="88"/>
  <c r="Y25" i="88"/>
  <c r="Y29" i="88"/>
  <c r="Y33" i="88"/>
  <c r="Y37" i="88"/>
  <c r="Y43" i="88"/>
  <c r="Y47" i="88"/>
  <c r="Y51" i="88"/>
  <c r="Y55" i="88"/>
  <c r="Y59" i="88"/>
  <c r="Y63" i="88"/>
  <c r="Y7" i="88"/>
  <c r="Y10" i="88"/>
  <c r="Y14" i="88"/>
  <c r="Y18" i="88"/>
  <c r="Y22" i="88"/>
  <c r="Y26" i="88"/>
  <c r="Y30" i="88"/>
  <c r="Y34" i="88"/>
  <c r="Y38" i="88"/>
  <c r="Y42" i="88"/>
  <c r="Y46" i="88"/>
  <c r="Y50" i="88"/>
  <c r="Y54" i="88"/>
  <c r="Y58" i="88"/>
  <c r="Y62" i="88"/>
  <c r="Y66" i="88"/>
  <c r="Y11" i="88"/>
  <c r="Y15" i="88"/>
  <c r="Y19" i="88"/>
  <c r="Y23" i="88"/>
  <c r="Y27" i="88"/>
  <c r="Y31" i="88"/>
  <c r="Y35" i="88"/>
  <c r="Y41" i="88"/>
  <c r="Y45" i="88"/>
  <c r="Y49" i="88"/>
  <c r="Y53" i="88"/>
  <c r="Y57" i="88"/>
  <c r="Y61" i="88"/>
  <c r="Y65" i="88"/>
  <c r="Y8" i="88"/>
  <c r="Y12" i="88"/>
  <c r="Y16" i="88"/>
  <c r="Y20" i="88"/>
  <c r="Y24" i="88"/>
  <c r="Y28" i="88"/>
  <c r="Y32" i="88"/>
  <c r="Y36" i="88"/>
  <c r="Y40" i="88"/>
  <c r="Y44" i="88"/>
  <c r="Y48" i="88"/>
  <c r="Y52" i="88"/>
  <c r="Y56" i="88"/>
  <c r="Y60" i="88"/>
  <c r="Y64" i="88"/>
  <c r="X39" i="88"/>
  <c r="X14" i="88"/>
  <c r="X18" i="88"/>
  <c r="X22" i="88"/>
  <c r="X31" i="88"/>
  <c r="X33" i="88"/>
  <c r="X37" i="88"/>
  <c r="X10" i="88"/>
  <c r="X15" i="88"/>
  <c r="X20" i="88"/>
  <c r="X30" i="88"/>
  <c r="X32" i="88"/>
  <c r="X35" i="88"/>
  <c r="X40" i="88"/>
  <c r="X42" i="88"/>
  <c r="X44" i="88"/>
  <c r="X46" i="88"/>
  <c r="X48" i="88"/>
  <c r="X50" i="88"/>
  <c r="X53" i="88"/>
  <c r="X55" i="88"/>
  <c r="X57" i="88"/>
  <c r="X59" i="88"/>
  <c r="X61" i="88"/>
  <c r="X63" i="88"/>
  <c r="X65" i="88"/>
  <c r="X7" i="88"/>
  <c r="X41" i="88"/>
  <c r="X43" i="88"/>
  <c r="X45" i="88"/>
  <c r="X47" i="88"/>
  <c r="X49" i="88"/>
  <c r="X52" i="88"/>
  <c r="X54" i="88"/>
  <c r="X56" i="88"/>
  <c r="X58" i="88"/>
  <c r="X60" i="88"/>
  <c r="X62" i="88"/>
  <c r="X64" i="88"/>
  <c r="X66" i="88"/>
  <c r="X19" i="88"/>
  <c r="X27" i="88"/>
  <c r="X12" i="88"/>
  <c r="X16" i="88"/>
  <c r="X25" i="88"/>
  <c r="X24" i="88"/>
  <c r="X29" i="88"/>
  <c r="X11" i="88"/>
  <c r="X9" i="88"/>
  <c r="X8" i="88"/>
  <c r="X38" i="88"/>
  <c r="X26" i="88"/>
  <c r="X21" i="88"/>
  <c r="X17" i="88"/>
  <c r="X51" i="88"/>
  <c r="X28" i="88"/>
  <c r="X36" i="88"/>
  <c r="X34" i="88"/>
  <c r="X13" i="88"/>
  <c r="X23" i="88"/>
  <c r="Y67" i="88" l="1"/>
  <c r="Z67" i="88"/>
  <c r="X67" i="88"/>
  <c r="AC67" i="88"/>
  <c r="I37" i="87" s="1"/>
  <c r="W67" i="88"/>
  <c r="AB39" i="88"/>
  <c r="AB9" i="88"/>
  <c r="AB11" i="88"/>
  <c r="AF11" i="88" s="1"/>
  <c r="AB13" i="88"/>
  <c r="AJ13" i="88" s="1"/>
  <c r="AB15" i="88"/>
  <c r="AB17" i="88"/>
  <c r="AB19" i="88"/>
  <c r="AB21" i="88"/>
  <c r="AB23" i="88"/>
  <c r="AF23" i="88" s="1"/>
  <c r="AB25" i="88"/>
  <c r="AB27" i="88"/>
  <c r="AB29" i="88"/>
  <c r="AB31" i="88"/>
  <c r="AB33" i="88"/>
  <c r="AB35" i="88"/>
  <c r="AB37" i="88"/>
  <c r="AB40" i="88"/>
  <c r="AB42" i="88"/>
  <c r="AB44" i="88"/>
  <c r="AJ44" i="88" s="1"/>
  <c r="AB46" i="88"/>
  <c r="AB48" i="88"/>
  <c r="AB50" i="88"/>
  <c r="AB52" i="88"/>
  <c r="AB54" i="88"/>
  <c r="AB56" i="88"/>
  <c r="AB58" i="88"/>
  <c r="AB60" i="88"/>
  <c r="AB62" i="88"/>
  <c r="AB64" i="88"/>
  <c r="AB66" i="88"/>
  <c r="AB8" i="88"/>
  <c r="AB10" i="88"/>
  <c r="AB12" i="88"/>
  <c r="N12" i="88" s="1"/>
  <c r="AB14" i="88"/>
  <c r="AB16" i="88"/>
  <c r="AJ16" i="88" s="1"/>
  <c r="AB18" i="88"/>
  <c r="AB20" i="88"/>
  <c r="AB22" i="88"/>
  <c r="AB24" i="88"/>
  <c r="AF24" i="88" s="1"/>
  <c r="AB26" i="88"/>
  <c r="AB28" i="88"/>
  <c r="N28" i="88" s="1"/>
  <c r="AB30" i="88"/>
  <c r="AB32" i="88"/>
  <c r="AB34" i="88"/>
  <c r="AB36" i="88"/>
  <c r="AB38" i="88"/>
  <c r="AB41" i="88"/>
  <c r="AB43" i="88"/>
  <c r="AB45" i="88"/>
  <c r="AB47" i="88"/>
  <c r="AB49" i="88"/>
  <c r="AB51" i="88"/>
  <c r="AF51" i="88" s="1"/>
  <c r="AB53" i="88"/>
  <c r="AB55" i="88"/>
  <c r="AB57" i="88"/>
  <c r="AB59" i="88"/>
  <c r="AB61" i="88"/>
  <c r="AB63" i="88"/>
  <c r="AB65" i="88"/>
  <c r="O65" i="88" s="1"/>
  <c r="AB7" i="88"/>
  <c r="AD67" i="88"/>
  <c r="I41" i="87" s="1"/>
  <c r="O17" i="88"/>
  <c r="AJ17" i="88"/>
  <c r="N17" i="88"/>
  <c r="AF17" i="88"/>
  <c r="O21" i="88"/>
  <c r="AJ21" i="88"/>
  <c r="N21" i="88"/>
  <c r="AF21" i="88"/>
  <c r="K76" i="1"/>
  <c r="M76" i="1"/>
  <c r="M67" i="1"/>
  <c r="M53" i="1"/>
  <c r="J1" i="1"/>
  <c r="M29" i="1"/>
  <c r="K29" i="1"/>
  <c r="AJ15" i="145" l="1"/>
  <c r="AJ20" i="143"/>
  <c r="AL11" i="137"/>
  <c r="AJ16" i="141"/>
  <c r="AL10" i="136"/>
  <c r="AJ9" i="145"/>
  <c r="AJ15" i="144"/>
  <c r="AJ14" i="142"/>
  <c r="AJ11" i="140"/>
  <c r="AJ13" i="137"/>
  <c r="AJ14" i="143"/>
  <c r="AJ15" i="141"/>
  <c r="AJ10" i="138"/>
  <c r="E12" i="88"/>
  <c r="AB67" i="88"/>
  <c r="AF63" i="88"/>
  <c r="AG63" i="88" s="1"/>
  <c r="O63" i="88"/>
  <c r="AH63" i="88"/>
  <c r="N63" i="88"/>
  <c r="AJ63" i="88"/>
  <c r="AH59" i="88"/>
  <c r="O59" i="88"/>
  <c r="AF59" i="88"/>
  <c r="AG59" i="88" s="1"/>
  <c r="AJ59" i="88"/>
  <c r="N59" i="88"/>
  <c r="AJ55" i="88"/>
  <c r="N55" i="88"/>
  <c r="AH55" i="88"/>
  <c r="O55" i="88"/>
  <c r="AF55" i="88"/>
  <c r="AG55" i="88" s="1"/>
  <c r="N47" i="88"/>
  <c r="AJ47" i="88"/>
  <c r="AH47" i="88"/>
  <c r="O47" i="88"/>
  <c r="AF47" i="88"/>
  <c r="AG47" i="88" s="1"/>
  <c r="O43" i="88"/>
  <c r="AF43" i="88"/>
  <c r="AJ43" i="88"/>
  <c r="N43" i="88"/>
  <c r="AJ34" i="88"/>
  <c r="AF34" i="88"/>
  <c r="O34" i="88"/>
  <c r="N34" i="88"/>
  <c r="AJ30" i="88"/>
  <c r="N30" i="88"/>
  <c r="O30" i="88"/>
  <c r="AF30" i="88"/>
  <c r="O22" i="88"/>
  <c r="N22" i="88"/>
  <c r="AF22" i="88"/>
  <c r="AJ22" i="88"/>
  <c r="O18" i="88"/>
  <c r="N18" i="88"/>
  <c r="AF18" i="88"/>
  <c r="AJ18" i="88"/>
  <c r="AJ14" i="88"/>
  <c r="AF14" i="88"/>
  <c r="O14" i="88"/>
  <c r="N14" i="88"/>
  <c r="AF10" i="88"/>
  <c r="N10" i="88"/>
  <c r="AJ10" i="88"/>
  <c r="O10" i="88"/>
  <c r="AH66" i="88"/>
  <c r="AF66" i="88"/>
  <c r="AG66" i="88" s="1"/>
  <c r="O66" i="88"/>
  <c r="AJ66" i="88"/>
  <c r="N66" i="88"/>
  <c r="AH62" i="88"/>
  <c r="N62" i="88"/>
  <c r="O62" i="88"/>
  <c r="AJ62" i="88"/>
  <c r="AF62" i="88"/>
  <c r="AG62" i="88" s="1"/>
  <c r="O58" i="88"/>
  <c r="AF58" i="88"/>
  <c r="AG58" i="88" s="1"/>
  <c r="AJ58" i="88"/>
  <c r="AH58" i="88"/>
  <c r="N58" i="88"/>
  <c r="AH54" i="88"/>
  <c r="AF54" i="88"/>
  <c r="AG54" i="88" s="1"/>
  <c r="N54" i="88"/>
  <c r="AJ54" i="88"/>
  <c r="O54" i="88"/>
  <c r="O50" i="88"/>
  <c r="AJ50" i="88"/>
  <c r="N50" i="88"/>
  <c r="AF50" i="88"/>
  <c r="AJ46" i="88"/>
  <c r="AH46" i="88"/>
  <c r="O46" i="88"/>
  <c r="AF46" i="88"/>
  <c r="AG46" i="88" s="1"/>
  <c r="O42" i="88"/>
  <c r="N42" i="88"/>
  <c r="AJ42" i="88"/>
  <c r="AF42" i="88"/>
  <c r="O37" i="88"/>
  <c r="N37" i="88"/>
  <c r="AH37" i="88"/>
  <c r="AJ37" i="88"/>
  <c r="AF37" i="88"/>
  <c r="AG37" i="88" s="1"/>
  <c r="O33" i="88"/>
  <c r="N33" i="88"/>
  <c r="AJ33" i="88"/>
  <c r="AF33" i="88"/>
  <c r="O29" i="88"/>
  <c r="N29" i="88"/>
  <c r="AJ29" i="88"/>
  <c r="AF29" i="88"/>
  <c r="AJ25" i="88"/>
  <c r="O25" i="88"/>
  <c r="AF25" i="88"/>
  <c r="N25" i="88"/>
  <c r="N9" i="88"/>
  <c r="AF9" i="88"/>
  <c r="O9" i="88"/>
  <c r="AJ9" i="88"/>
  <c r="I12" i="87"/>
  <c r="W68" i="88"/>
  <c r="N23" i="88"/>
  <c r="O23" i="88"/>
  <c r="N13" i="88"/>
  <c r="O13" i="88"/>
  <c r="AJ28" i="88"/>
  <c r="O28" i="88"/>
  <c r="S28" i="88" s="1"/>
  <c r="N16" i="88"/>
  <c r="O16" i="88"/>
  <c r="O51" i="88"/>
  <c r="AJ51" i="88"/>
  <c r="O11" i="88"/>
  <c r="AJ11" i="88"/>
  <c r="AF44" i="88"/>
  <c r="N44" i="88"/>
  <c r="N24" i="88"/>
  <c r="AJ24" i="88"/>
  <c r="AJ12" i="88"/>
  <c r="O12" i="88"/>
  <c r="S12" i="88" s="1"/>
  <c r="AF65" i="88"/>
  <c r="AG65" i="88" s="1"/>
  <c r="N65" i="88"/>
  <c r="AJ61" i="88"/>
  <c r="N61" i="88"/>
  <c r="AH61" i="88"/>
  <c r="O61" i="88"/>
  <c r="AF61" i="88"/>
  <c r="AG61" i="88" s="1"/>
  <c r="O57" i="88"/>
  <c r="N57" i="88"/>
  <c r="AH57" i="88"/>
  <c r="AJ57" i="88"/>
  <c r="AF57" i="88"/>
  <c r="AG57" i="88" s="1"/>
  <c r="AJ53" i="88"/>
  <c r="AF53" i="88"/>
  <c r="AG53" i="88" s="1"/>
  <c r="AH53" i="88"/>
  <c r="O53" i="88"/>
  <c r="N53" i="88"/>
  <c r="AJ49" i="88"/>
  <c r="AF49" i="88"/>
  <c r="O49" i="88"/>
  <c r="N49" i="88"/>
  <c r="AJ45" i="88"/>
  <c r="N45" i="88"/>
  <c r="O45" i="88"/>
  <c r="AF45" i="88"/>
  <c r="AJ41" i="88"/>
  <c r="N41" i="88"/>
  <c r="O41" i="88"/>
  <c r="AF41" i="88"/>
  <c r="AJ36" i="88"/>
  <c r="AF36" i="88"/>
  <c r="O36" i="88"/>
  <c r="N36" i="88"/>
  <c r="AH32" i="88"/>
  <c r="O32" i="88"/>
  <c r="N32" i="88"/>
  <c r="AF32" i="88"/>
  <c r="AG32" i="88" s="1"/>
  <c r="AJ32" i="88"/>
  <c r="AJ20" i="88"/>
  <c r="AF20" i="88"/>
  <c r="N20" i="88"/>
  <c r="O20" i="88"/>
  <c r="O8" i="88"/>
  <c r="AJ8" i="88"/>
  <c r="N8" i="88"/>
  <c r="AF8" i="88"/>
  <c r="AF64" i="88"/>
  <c r="AG64" i="88" s="1"/>
  <c r="AJ64" i="88"/>
  <c r="N64" i="88"/>
  <c r="AH64" i="88"/>
  <c r="O64" i="88"/>
  <c r="N60" i="88"/>
  <c r="AJ60" i="88"/>
  <c r="AF60" i="88"/>
  <c r="AG60" i="88" s="1"/>
  <c r="AH60" i="88"/>
  <c r="O60" i="88"/>
  <c r="AH56" i="88"/>
  <c r="AJ56" i="88"/>
  <c r="AF56" i="88"/>
  <c r="AG56" i="88" s="1"/>
  <c r="O56" i="88"/>
  <c r="N56" i="88"/>
  <c r="AJ52" i="88"/>
  <c r="N52" i="88"/>
  <c r="AH52" i="88"/>
  <c r="O52" i="88"/>
  <c r="AF52" i="88"/>
  <c r="AG52" i="88" s="1"/>
  <c r="AH48" i="88"/>
  <c r="O48" i="88"/>
  <c r="AJ48" i="88"/>
  <c r="AF48" i="88"/>
  <c r="AG48" i="88" s="1"/>
  <c r="N48" i="88"/>
  <c r="O40" i="88"/>
  <c r="AF40" i="88"/>
  <c r="AJ40" i="88"/>
  <c r="N40" i="88"/>
  <c r="AH35" i="88"/>
  <c r="O35" i="88"/>
  <c r="N35" i="88"/>
  <c r="AJ35" i="88"/>
  <c r="AF35" i="88"/>
  <c r="AG35" i="88" s="1"/>
  <c r="AJ31" i="88"/>
  <c r="AF31" i="88"/>
  <c r="O31" i="88"/>
  <c r="N31" i="88"/>
  <c r="AJ27" i="88"/>
  <c r="AF27" i="88"/>
  <c r="N27" i="88"/>
  <c r="O27" i="88"/>
  <c r="AJ19" i="88"/>
  <c r="AF19" i="88"/>
  <c r="O19" i="88"/>
  <c r="N19" i="88"/>
  <c r="AL13" i="136" s="1"/>
  <c r="AJ15" i="88"/>
  <c r="AF15" i="88"/>
  <c r="O15" i="88"/>
  <c r="N15" i="88"/>
  <c r="O39" i="88"/>
  <c r="AF39" i="88"/>
  <c r="AJ39" i="88"/>
  <c r="N39" i="88"/>
  <c r="AJ23" i="88"/>
  <c r="AF13" i="88"/>
  <c r="AF28" i="88"/>
  <c r="AF16" i="88"/>
  <c r="N51" i="88"/>
  <c r="N11" i="88"/>
  <c r="O44" i="88"/>
  <c r="O24" i="88"/>
  <c r="AF12" i="88"/>
  <c r="AJ65" i="88"/>
  <c r="AH65" i="88"/>
  <c r="N46" i="88"/>
  <c r="I27" i="87"/>
  <c r="Z68" i="88"/>
  <c r="I17" i="87"/>
  <c r="X68" i="88"/>
  <c r="I22" i="87"/>
  <c r="Y68" i="88"/>
  <c r="AL20" i="144"/>
  <c r="AL18" i="145"/>
  <c r="AJ20" i="144"/>
  <c r="AJ18" i="145"/>
  <c r="AL16" i="142"/>
  <c r="AL19" i="143"/>
  <c r="AJ16" i="142"/>
  <c r="AH16" i="142" s="1"/>
  <c r="AJ19" i="143"/>
  <c r="AH19" i="143" s="1"/>
  <c r="AL11" i="138"/>
  <c r="AP9" i="141"/>
  <c r="AL10" i="140"/>
  <c r="AN9" i="141"/>
  <c r="AL11" i="136"/>
  <c r="AJ16" i="138"/>
  <c r="AL14" i="136"/>
  <c r="AP15" i="137"/>
  <c r="AJ13" i="131"/>
  <c r="AL13" i="131"/>
  <c r="AJ38" i="88"/>
  <c r="O38" i="88"/>
  <c r="N38" i="88"/>
  <c r="AF38" i="88"/>
  <c r="V67" i="88"/>
  <c r="P17" i="88"/>
  <c r="S17" i="88"/>
  <c r="B17" i="88"/>
  <c r="B21" i="88"/>
  <c r="S21" i="88"/>
  <c r="P21" i="88"/>
  <c r="O26" i="88"/>
  <c r="AJ26" i="88"/>
  <c r="AF26" i="88"/>
  <c r="N26" i="88"/>
  <c r="AJ19" i="145" s="1"/>
  <c r="P20" i="88" l="1"/>
  <c r="AH20" i="144"/>
  <c r="AJ18" i="144"/>
  <c r="AL21" i="141"/>
  <c r="AJ8" i="138"/>
  <c r="AJ15" i="131"/>
  <c r="P31" i="88"/>
  <c r="AJ12" i="143"/>
  <c r="AJ23" i="140"/>
  <c r="AJ21" i="136"/>
  <c r="S31" i="88"/>
  <c r="AL9" i="143"/>
  <c r="P35" i="88"/>
  <c r="S35" i="88"/>
  <c r="AL8" i="136"/>
  <c r="AL20" i="140"/>
  <c r="B60" i="88"/>
  <c r="P60" i="88"/>
  <c r="S60" i="88"/>
  <c r="AJ17" i="144"/>
  <c r="AJ16" i="140"/>
  <c r="E46" i="88"/>
  <c r="S46" i="88"/>
  <c r="P46" i="88"/>
  <c r="AL15" i="145"/>
  <c r="AH15" i="145" s="1"/>
  <c r="AL16" i="141"/>
  <c r="S51" i="88"/>
  <c r="AL20" i="143"/>
  <c r="G51" i="88"/>
  <c r="P51" i="88"/>
  <c r="AP17" i="145"/>
  <c r="AL13" i="144"/>
  <c r="AL9" i="142"/>
  <c r="P27" i="88"/>
  <c r="AL13" i="143"/>
  <c r="B27" i="88"/>
  <c r="S27" i="88"/>
  <c r="B40" i="88"/>
  <c r="AJ22" i="144"/>
  <c r="AJ9" i="137"/>
  <c r="S40" i="88"/>
  <c r="AJ14" i="140"/>
  <c r="E40" i="88"/>
  <c r="P40" i="88"/>
  <c r="AL10" i="144"/>
  <c r="S48" i="88"/>
  <c r="B48" i="88"/>
  <c r="P48" i="88"/>
  <c r="S52" i="88"/>
  <c r="P52" i="88"/>
  <c r="B52" i="88"/>
  <c r="AJ14" i="136"/>
  <c r="AH14" i="136" s="1"/>
  <c r="AJ19" i="140"/>
  <c r="P56" i="88"/>
  <c r="S56" i="88"/>
  <c r="AN20" i="136"/>
  <c r="P64" i="88"/>
  <c r="B64" i="88"/>
  <c r="S64" i="88"/>
  <c r="AJ16" i="145"/>
  <c r="AJ17" i="143"/>
  <c r="AJ14" i="141"/>
  <c r="AJ15" i="138"/>
  <c r="AJ12" i="136"/>
  <c r="AJ9" i="131"/>
  <c r="P8" i="88"/>
  <c r="S8" i="88"/>
  <c r="AJ12" i="144"/>
  <c r="AJ10" i="142"/>
  <c r="AJ8" i="140"/>
  <c r="AJ10" i="137"/>
  <c r="AL10" i="145"/>
  <c r="AL8" i="141"/>
  <c r="AL12" i="138"/>
  <c r="AL8" i="143"/>
  <c r="AL12" i="140"/>
  <c r="G20" i="88"/>
  <c r="S20" i="88"/>
  <c r="AL21" i="143"/>
  <c r="AL12" i="141"/>
  <c r="AL13" i="140"/>
  <c r="P36" i="88"/>
  <c r="AL23" i="144"/>
  <c r="AL17" i="142"/>
  <c r="E36" i="88"/>
  <c r="S36" i="88"/>
  <c r="AL22" i="144"/>
  <c r="AL14" i="140"/>
  <c r="P41" i="88"/>
  <c r="AL9" i="137"/>
  <c r="B41" i="88"/>
  <c r="S41" i="88"/>
  <c r="AJ20" i="141"/>
  <c r="E45" i="88"/>
  <c r="B45" i="88"/>
  <c r="S45" i="88"/>
  <c r="AL11" i="142"/>
  <c r="AL19" i="136"/>
  <c r="AL14" i="131"/>
  <c r="P45" i="88"/>
  <c r="AJ14" i="138"/>
  <c r="AJ18" i="137"/>
  <c r="AJ18" i="136"/>
  <c r="AL15" i="131"/>
  <c r="B49" i="88"/>
  <c r="S49" i="88"/>
  <c r="P49" i="88"/>
  <c r="P53" i="88"/>
  <c r="G53" i="88"/>
  <c r="AJ19" i="137"/>
  <c r="S53" i="88"/>
  <c r="B53" i="88"/>
  <c r="AJ15" i="136"/>
  <c r="AL19" i="140"/>
  <c r="S57" i="88"/>
  <c r="P57" i="88"/>
  <c r="AP20" i="136"/>
  <c r="B65" i="88"/>
  <c r="P65" i="88"/>
  <c r="S65" i="88"/>
  <c r="AJ21" i="144"/>
  <c r="AJ15" i="143"/>
  <c r="AJ22" i="140"/>
  <c r="AJ13" i="138"/>
  <c r="S24" i="88"/>
  <c r="AJ11" i="145"/>
  <c r="AJ20" i="142"/>
  <c r="AJ17" i="141"/>
  <c r="AJ14" i="137"/>
  <c r="AL18" i="131"/>
  <c r="P24" i="88"/>
  <c r="AL9" i="145"/>
  <c r="AH9" i="145" s="1"/>
  <c r="AL14" i="143"/>
  <c r="AH14" i="143" s="1"/>
  <c r="AL15" i="141"/>
  <c r="AH15" i="141" s="1"/>
  <c r="AL11" i="140"/>
  <c r="P16" i="88"/>
  <c r="AL15" i="144"/>
  <c r="AH15" i="144" s="1"/>
  <c r="AL14" i="142"/>
  <c r="AH14" i="142" s="1"/>
  <c r="AL10" i="138"/>
  <c r="AH10" i="138" s="1"/>
  <c r="S16" i="88"/>
  <c r="AL14" i="145"/>
  <c r="AL22" i="143"/>
  <c r="AL13" i="142"/>
  <c r="AL17" i="138"/>
  <c r="AL15" i="136"/>
  <c r="AL8" i="131"/>
  <c r="B13" i="88"/>
  <c r="P13" i="88"/>
  <c r="AL9" i="144"/>
  <c r="AL13" i="141"/>
  <c r="AL15" i="140"/>
  <c r="AL19" i="137"/>
  <c r="S13" i="88"/>
  <c r="AJ14" i="145"/>
  <c r="AJ22" i="143"/>
  <c r="AJ13" i="142"/>
  <c r="G23" i="88"/>
  <c r="S23" i="88"/>
  <c r="AJ9" i="144"/>
  <c r="AH9" i="144" s="1"/>
  <c r="AJ13" i="141"/>
  <c r="AH13" i="141" s="1"/>
  <c r="AJ19" i="136"/>
  <c r="AJ14" i="131"/>
  <c r="AH14" i="131" s="1"/>
  <c r="B23" i="88"/>
  <c r="P23" i="88"/>
  <c r="AL16" i="145"/>
  <c r="AL17" i="143"/>
  <c r="AL14" i="141"/>
  <c r="AL15" i="138"/>
  <c r="AL12" i="136"/>
  <c r="AJ11" i="131"/>
  <c r="S9" i="88"/>
  <c r="P9" i="88"/>
  <c r="AL12" i="144"/>
  <c r="AL10" i="142"/>
  <c r="AL8" i="140"/>
  <c r="AL10" i="137"/>
  <c r="AJ10" i="144"/>
  <c r="B37" i="88"/>
  <c r="AJ9" i="142"/>
  <c r="P37" i="88"/>
  <c r="S37" i="88"/>
  <c r="AJ17" i="145"/>
  <c r="AJ18" i="142"/>
  <c r="AJ21" i="140"/>
  <c r="AJ19" i="144"/>
  <c r="AJ18" i="141"/>
  <c r="AJ16" i="137"/>
  <c r="G42" i="88"/>
  <c r="S42" i="88"/>
  <c r="P42" i="88"/>
  <c r="E42" i="88"/>
  <c r="B42" i="88"/>
  <c r="E54" i="88"/>
  <c r="P54" i="88"/>
  <c r="AJ13" i="145"/>
  <c r="S54" i="88"/>
  <c r="AJ11" i="144"/>
  <c r="AL8" i="142"/>
  <c r="AJ18" i="140"/>
  <c r="AL12" i="137"/>
  <c r="AJ10" i="131"/>
  <c r="P10" i="88"/>
  <c r="S10" i="88"/>
  <c r="AL12" i="145"/>
  <c r="AJ10" i="143"/>
  <c r="AL11" i="141"/>
  <c r="AL9" i="138"/>
  <c r="B10" i="88"/>
  <c r="AJ8" i="142"/>
  <c r="AJ9" i="138"/>
  <c r="AJ8" i="131"/>
  <c r="AJ11" i="141"/>
  <c r="AJ12" i="137"/>
  <c r="S14" i="88"/>
  <c r="P14" i="88"/>
  <c r="AJ9" i="136"/>
  <c r="AJ8" i="144"/>
  <c r="AJ9" i="140"/>
  <c r="P18" i="88"/>
  <c r="S18" i="88"/>
  <c r="AJ9" i="143"/>
  <c r="AH9" i="143" s="1"/>
  <c r="AJ8" i="136"/>
  <c r="AL8" i="145"/>
  <c r="AL15" i="142"/>
  <c r="AL18" i="140"/>
  <c r="P22" i="88"/>
  <c r="AL11" i="143"/>
  <c r="AL10" i="141"/>
  <c r="S22" i="88"/>
  <c r="AL10" i="143"/>
  <c r="S30" i="88"/>
  <c r="AL11" i="144"/>
  <c r="AL10" i="131"/>
  <c r="P30" i="88"/>
  <c r="AJ23" i="144"/>
  <c r="AJ21" i="143"/>
  <c r="AJ12" i="141"/>
  <c r="AJ18" i="131"/>
  <c r="AJ17" i="142"/>
  <c r="AJ13" i="140"/>
  <c r="S34" i="88"/>
  <c r="P34" i="88"/>
  <c r="AJ21" i="141"/>
  <c r="AH21" i="141" s="1"/>
  <c r="P43" i="88"/>
  <c r="AJ11" i="137"/>
  <c r="AH11" i="137" s="1"/>
  <c r="S43" i="88"/>
  <c r="AJ10" i="136"/>
  <c r="AH10" i="136" s="1"/>
  <c r="AL16" i="140"/>
  <c r="S47" i="88"/>
  <c r="AL17" i="144"/>
  <c r="P47" i="88"/>
  <c r="AL18" i="144"/>
  <c r="AL21" i="136"/>
  <c r="P55" i="88"/>
  <c r="S55" i="88"/>
  <c r="E59" i="88"/>
  <c r="S59" i="88"/>
  <c r="AJ20" i="140"/>
  <c r="AH20" i="140" s="1"/>
  <c r="AJ20" i="136"/>
  <c r="AH20" i="136" s="1"/>
  <c r="S63" i="88"/>
  <c r="B63" i="88"/>
  <c r="P63" i="88"/>
  <c r="AB68" i="88"/>
  <c r="I33" i="87"/>
  <c r="P12" i="88"/>
  <c r="P28" i="88"/>
  <c r="AH20" i="143"/>
  <c r="AJ13" i="144"/>
  <c r="AJ12" i="142"/>
  <c r="AJ10" i="140"/>
  <c r="AH10" i="140" s="1"/>
  <c r="AJ15" i="137"/>
  <c r="AL16" i="131"/>
  <c r="S11" i="88"/>
  <c r="P11" i="88"/>
  <c r="AJ12" i="145"/>
  <c r="AH12" i="145" s="1"/>
  <c r="AL16" i="143"/>
  <c r="AJ9" i="141"/>
  <c r="AH9" i="141" s="1"/>
  <c r="AJ11" i="138"/>
  <c r="AH11" i="138" s="1"/>
  <c r="B11" i="88"/>
  <c r="AJ11" i="136"/>
  <c r="AH11" i="136" s="1"/>
  <c r="AL20" i="141"/>
  <c r="AJ15" i="140"/>
  <c r="P39" i="88"/>
  <c r="S39" i="88"/>
  <c r="AL12" i="142"/>
  <c r="AN15" i="137"/>
  <c r="B39" i="88"/>
  <c r="AJ8" i="145"/>
  <c r="AL14" i="144"/>
  <c r="AJ15" i="142"/>
  <c r="AH15" i="142" s="1"/>
  <c r="AJ11" i="143"/>
  <c r="AJ10" i="141"/>
  <c r="AH10" i="141" s="1"/>
  <c r="P15" i="88"/>
  <c r="S15" i="88"/>
  <c r="AL9" i="136"/>
  <c r="AP19" i="144"/>
  <c r="AJ13" i="143"/>
  <c r="AP21" i="140"/>
  <c r="AL8" i="138"/>
  <c r="AL9" i="131"/>
  <c r="P19" i="88"/>
  <c r="AL18" i="142"/>
  <c r="AP18" i="141"/>
  <c r="AN16" i="137"/>
  <c r="B19" i="88"/>
  <c r="S19" i="88"/>
  <c r="AL8" i="144"/>
  <c r="E32" i="88"/>
  <c r="AL9" i="140"/>
  <c r="P32" i="88"/>
  <c r="S32" i="88"/>
  <c r="AJ17" i="137"/>
  <c r="S61" i="88"/>
  <c r="P61" i="88"/>
  <c r="E61" i="88"/>
  <c r="AL13" i="145"/>
  <c r="S44" i="88"/>
  <c r="AL13" i="137"/>
  <c r="AH13" i="137" s="1"/>
  <c r="AL11" i="131"/>
  <c r="P44" i="88"/>
  <c r="AL21" i="144"/>
  <c r="AL15" i="143"/>
  <c r="AL22" i="140"/>
  <c r="AL13" i="138"/>
  <c r="P25" i="88"/>
  <c r="AL11" i="145"/>
  <c r="AL20" i="142"/>
  <c r="AL17" i="141"/>
  <c r="AL14" i="137"/>
  <c r="S25" i="88"/>
  <c r="AN19" i="144"/>
  <c r="B29" i="88"/>
  <c r="AJ16" i="143"/>
  <c r="AN21" i="140"/>
  <c r="AJ16" i="131"/>
  <c r="P29" i="88"/>
  <c r="AN18" i="141"/>
  <c r="AJ8" i="137"/>
  <c r="S29" i="88"/>
  <c r="AJ16" i="144"/>
  <c r="AJ16" i="136"/>
  <c r="AJ12" i="131"/>
  <c r="P33" i="88"/>
  <c r="S33" i="88"/>
  <c r="AL12" i="143"/>
  <c r="AH12" i="143" s="1"/>
  <c r="AN17" i="145"/>
  <c r="AL18" i="137"/>
  <c r="AH18" i="137" s="1"/>
  <c r="B50" i="88"/>
  <c r="P50" i="88"/>
  <c r="AL14" i="138"/>
  <c r="AN18" i="136"/>
  <c r="S50" i="88"/>
  <c r="AL23" i="140"/>
  <c r="E58" i="88"/>
  <c r="S58" i="88"/>
  <c r="AP16" i="137"/>
  <c r="P58" i="88"/>
  <c r="AL17" i="137"/>
  <c r="P62" i="88"/>
  <c r="S62" i="88"/>
  <c r="AJ17" i="138"/>
  <c r="B66" i="88"/>
  <c r="S66" i="88"/>
  <c r="P66" i="88"/>
  <c r="P59" i="88"/>
  <c r="AH11" i="140"/>
  <c r="AH16" i="141"/>
  <c r="AH18" i="145"/>
  <c r="AL18" i="143"/>
  <c r="AL19" i="145"/>
  <c r="AH19" i="145" s="1"/>
  <c r="AJ18" i="143"/>
  <c r="AJ14" i="144"/>
  <c r="AH14" i="144" s="1"/>
  <c r="AJ19" i="141"/>
  <c r="AJ19" i="142"/>
  <c r="AL19" i="141"/>
  <c r="AL19" i="142"/>
  <c r="AJ13" i="136"/>
  <c r="AH13" i="136" s="1"/>
  <c r="AJ17" i="140"/>
  <c r="AL16" i="138"/>
  <c r="AH16" i="138" s="1"/>
  <c r="AL17" i="140"/>
  <c r="AH13" i="131"/>
  <c r="AL17" i="136"/>
  <c r="AP18" i="136"/>
  <c r="AJ17" i="131"/>
  <c r="AJ17" i="136"/>
  <c r="AL17" i="131"/>
  <c r="AH17" i="131" s="1"/>
  <c r="P26" i="88"/>
  <c r="B26" i="88"/>
  <c r="S26" i="88"/>
  <c r="V68" i="88"/>
  <c r="I9" i="87"/>
  <c r="B38" i="88"/>
  <c r="P38" i="88"/>
  <c r="S38" i="88"/>
  <c r="AH19" i="136" l="1"/>
  <c r="AH18" i="136"/>
  <c r="AH17" i="136"/>
  <c r="AH18" i="143"/>
  <c r="AH23" i="140"/>
  <c r="AH8" i="145"/>
  <c r="AH14" i="138"/>
  <c r="AH8" i="138"/>
  <c r="AH11" i="143"/>
  <c r="AH21" i="143"/>
  <c r="AH10" i="144"/>
  <c r="AH22" i="143"/>
  <c r="AH15" i="136"/>
  <c r="AH19" i="140"/>
  <c r="AH13" i="142"/>
  <c r="AH19" i="137"/>
  <c r="AH14" i="145"/>
  <c r="AH15" i="137"/>
  <c r="D61" i="88"/>
  <c r="AH16" i="143"/>
  <c r="AH16" i="131"/>
  <c r="D59" i="88"/>
  <c r="AH9" i="140"/>
  <c r="AH9" i="136"/>
  <c r="AH11" i="141"/>
  <c r="AH12" i="137"/>
  <c r="AH8" i="142"/>
  <c r="AH13" i="145"/>
  <c r="D54" i="88"/>
  <c r="D42" i="88"/>
  <c r="AH16" i="137"/>
  <c r="AH19" i="144"/>
  <c r="AH18" i="142"/>
  <c r="F23" i="88"/>
  <c r="AH15" i="140"/>
  <c r="AH14" i="137"/>
  <c r="AH20" i="142"/>
  <c r="AH22" i="140"/>
  <c r="AH21" i="144"/>
  <c r="D45" i="88"/>
  <c r="AH17" i="142"/>
  <c r="AH12" i="141"/>
  <c r="AH8" i="140"/>
  <c r="AH12" i="144"/>
  <c r="AH12" i="136"/>
  <c r="AH14" i="141"/>
  <c r="AH16" i="145"/>
  <c r="AH14" i="140"/>
  <c r="AH9" i="137"/>
  <c r="AH13" i="144"/>
  <c r="D46" i="88"/>
  <c r="AH17" i="144"/>
  <c r="AH21" i="136"/>
  <c r="AH15" i="131"/>
  <c r="D58" i="88"/>
  <c r="AH17" i="137"/>
  <c r="D32" i="88"/>
  <c r="D12" i="88"/>
  <c r="D67" i="88"/>
  <c r="AH12" i="142"/>
  <c r="AH8" i="144"/>
  <c r="AH9" i="138"/>
  <c r="AH10" i="143"/>
  <c r="AH10" i="131"/>
  <c r="AH18" i="140"/>
  <c r="AH11" i="144"/>
  <c r="F67" i="88"/>
  <c r="F42" i="88"/>
  <c r="AH18" i="141"/>
  <c r="AH21" i="140"/>
  <c r="AH17" i="145"/>
  <c r="AH11" i="131"/>
  <c r="AH8" i="131"/>
  <c r="AH17" i="138"/>
  <c r="AH18" i="131"/>
  <c r="AH17" i="141"/>
  <c r="AH11" i="145"/>
  <c r="AH13" i="138"/>
  <c r="AH15" i="143"/>
  <c r="F53" i="88"/>
  <c r="AH20" i="141"/>
  <c r="D36" i="88"/>
  <c r="AH23" i="144"/>
  <c r="AH13" i="140"/>
  <c r="F20" i="88"/>
  <c r="AH10" i="137"/>
  <c r="AH10" i="142"/>
  <c r="AH9" i="131"/>
  <c r="AH15" i="138"/>
  <c r="AH17" i="143"/>
  <c r="D40" i="88"/>
  <c r="AH22" i="144"/>
  <c r="AH13" i="143"/>
  <c r="AH9" i="142"/>
  <c r="F51" i="88"/>
  <c r="AH16" i="140"/>
  <c r="AH8" i="136"/>
  <c r="AH18" i="144"/>
  <c r="AH19" i="142"/>
  <c r="AH19" i="141"/>
  <c r="AH17" i="140"/>
  <c r="A67" i="88"/>
  <c r="A52" i="88"/>
  <c r="A41" i="88"/>
  <c r="A40" i="88"/>
  <c r="A60" i="88"/>
  <c r="A66" i="88"/>
  <c r="A10" i="88"/>
  <c r="A63" i="88"/>
  <c r="A64" i="88"/>
  <c r="A65" i="88"/>
  <c r="A53" i="88"/>
  <c r="A17" i="88"/>
  <c r="A27" i="88"/>
  <c r="A38" i="88"/>
  <c r="A48" i="88"/>
  <c r="A45" i="88"/>
  <c r="A13" i="88"/>
  <c r="A21" i="88"/>
  <c r="A49" i="88"/>
  <c r="A26" i="88"/>
  <c r="A50" i="88"/>
  <c r="A23" i="88"/>
  <c r="A37" i="88"/>
  <c r="A19" i="88"/>
  <c r="A11" i="88"/>
  <c r="A29" i="88"/>
  <c r="A39" i="88"/>
  <c r="A42" i="88"/>
  <c r="N12" i="1"/>
  <c r="K53" i="1" l="1"/>
  <c r="K36" i="1"/>
  <c r="K18" i="1"/>
  <c r="K6" i="1" l="1"/>
  <c r="J12" i="64" l="1"/>
  <c r="J9" i="64"/>
  <c r="J15" i="64"/>
  <c r="J13" i="64"/>
  <c r="J24" i="64"/>
  <c r="J14" i="64"/>
  <c r="J26" i="64"/>
  <c r="J20" i="64"/>
  <c r="J17" i="64"/>
  <c r="J43" i="64"/>
  <c r="J21" i="64"/>
  <c r="J10" i="64"/>
  <c r="J11" i="64"/>
  <c r="M8" i="64" l="1"/>
  <c r="M13" i="64"/>
  <c r="M14" i="64"/>
  <c r="M15" i="64"/>
  <c r="M11" i="64"/>
  <c r="M12" i="64"/>
  <c r="M10" i="64"/>
  <c r="M37" i="64"/>
  <c r="M28" i="64"/>
  <c r="M9" i="64"/>
  <c r="M16" i="64"/>
  <c r="M19" i="64"/>
  <c r="M21" i="64"/>
  <c r="M39" i="64"/>
  <c r="M32" i="64"/>
  <c r="M18" i="64"/>
  <c r="M22" i="64"/>
  <c r="M20" i="64"/>
  <c r="M34" i="64"/>
  <c r="M35" i="64"/>
  <c r="M31" i="64"/>
  <c r="M30" i="64"/>
  <c r="M24" i="64"/>
  <c r="M27" i="64"/>
  <c r="M33" i="64"/>
  <c r="M38" i="64"/>
  <c r="M40" i="64"/>
  <c r="M48" i="64"/>
  <c r="M29" i="64"/>
  <c r="M43" i="64"/>
  <c r="M46" i="64"/>
  <c r="M42" i="64"/>
  <c r="M26" i="64"/>
  <c r="M45" i="64"/>
  <c r="M17" i="64"/>
  <c r="I21" i="87" l="1"/>
  <c r="I10" i="87"/>
  <c r="I44" i="87"/>
  <c r="D8" i="64" l="1"/>
  <c r="D13" i="64"/>
  <c r="C13" i="64" s="1"/>
  <c r="D14" i="64"/>
  <c r="C14" i="64" s="1"/>
  <c r="D15" i="64"/>
  <c r="C15" i="64" s="1"/>
  <c r="D11" i="64"/>
  <c r="D12" i="64"/>
  <c r="C12" i="64" s="1"/>
  <c r="D10" i="64"/>
  <c r="C10" i="64" s="1"/>
  <c r="D37" i="64"/>
  <c r="C37" i="64" s="1"/>
  <c r="D28" i="64"/>
  <c r="C28" i="64" s="1"/>
  <c r="D9" i="64"/>
  <c r="C9" i="64" s="1"/>
  <c r="D16" i="64"/>
  <c r="C16" i="64" s="1"/>
  <c r="D19" i="64"/>
  <c r="C19" i="64" s="1"/>
  <c r="D21" i="64"/>
  <c r="C21" i="64" s="1"/>
  <c r="D39" i="64"/>
  <c r="C39" i="64" s="1"/>
  <c r="D32" i="64"/>
  <c r="C32" i="64" s="1"/>
  <c r="D18" i="64"/>
  <c r="C18" i="64" s="1"/>
  <c r="D22" i="64"/>
  <c r="C22" i="64" s="1"/>
  <c r="D20" i="64"/>
  <c r="C20" i="64" s="1"/>
  <c r="D34" i="64"/>
  <c r="C34" i="64" s="1"/>
  <c r="D35" i="64"/>
  <c r="C35" i="64" s="1"/>
  <c r="D31" i="64"/>
  <c r="C31" i="64" s="1"/>
  <c r="D30" i="64"/>
  <c r="C30" i="64" s="1"/>
  <c r="D24" i="64"/>
  <c r="C24" i="64" s="1"/>
  <c r="D27" i="64"/>
  <c r="C27" i="64" s="1"/>
  <c r="D33" i="64"/>
  <c r="C33" i="64" s="1"/>
  <c r="D38" i="64"/>
  <c r="C38" i="64" s="1"/>
  <c r="D40" i="64"/>
  <c r="C40" i="64" s="1"/>
  <c r="D48" i="64"/>
  <c r="C48" i="64" s="1"/>
  <c r="D29" i="64"/>
  <c r="C29" i="64" s="1"/>
  <c r="D43" i="64"/>
  <c r="C43" i="64" s="1"/>
  <c r="D46" i="64"/>
  <c r="C46" i="64" s="1"/>
  <c r="D26" i="64"/>
  <c r="C26" i="64" s="1"/>
  <c r="D45" i="64"/>
  <c r="C45" i="64" s="1"/>
  <c r="B8" i="64"/>
  <c r="A8" i="64" s="1"/>
  <c r="B13" i="64"/>
  <c r="A13" i="64" s="1"/>
  <c r="B14" i="64"/>
  <c r="A14" i="64" s="1"/>
  <c r="B15" i="64"/>
  <c r="A15" i="64" s="1"/>
  <c r="B11" i="64"/>
  <c r="B12" i="64"/>
  <c r="A12" i="64" s="1"/>
  <c r="B10" i="64"/>
  <c r="A10" i="64" s="1"/>
  <c r="B37" i="64"/>
  <c r="A37" i="64" s="1"/>
  <c r="B28" i="64"/>
  <c r="A28" i="64" s="1"/>
  <c r="B9" i="64"/>
  <c r="A9" i="64" s="1"/>
  <c r="B16" i="64"/>
  <c r="A16" i="64" s="1"/>
  <c r="B19" i="64"/>
  <c r="A19" i="64" s="1"/>
  <c r="B21" i="64"/>
  <c r="A21" i="64" s="1"/>
  <c r="B32" i="64"/>
  <c r="A32" i="64" s="1"/>
  <c r="B18" i="64"/>
  <c r="A18" i="64" s="1"/>
  <c r="B22" i="64"/>
  <c r="A22" i="64" s="1"/>
  <c r="B20" i="64"/>
  <c r="A20" i="64" s="1"/>
  <c r="B35" i="64"/>
  <c r="A35" i="64" s="1"/>
  <c r="B31" i="64"/>
  <c r="A31" i="64" s="1"/>
  <c r="B30" i="64"/>
  <c r="A30" i="64" s="1"/>
  <c r="B24" i="64"/>
  <c r="A24" i="64" s="1"/>
  <c r="B27" i="64"/>
  <c r="A27" i="64" s="1"/>
  <c r="B33" i="64"/>
  <c r="A33" i="64" s="1"/>
  <c r="B38" i="64"/>
  <c r="A38" i="64" s="1"/>
  <c r="B40" i="64"/>
  <c r="A40" i="64" s="1"/>
  <c r="B48" i="64"/>
  <c r="A48" i="64" s="1"/>
  <c r="B43" i="64"/>
  <c r="A43" i="64" s="1"/>
  <c r="B46" i="64"/>
  <c r="A46" i="64" s="1"/>
  <c r="B42" i="64"/>
  <c r="A42" i="64" s="1"/>
  <c r="B45" i="64"/>
  <c r="A45" i="64" s="1"/>
  <c r="B17" i="64"/>
  <c r="A17" i="64" s="1"/>
  <c r="C8" i="64" l="1"/>
  <c r="A11" i="64"/>
  <c r="C11" i="64"/>
  <c r="AB54" i="64"/>
  <c r="I50" i="87" s="1"/>
  <c r="AA54" i="64"/>
  <c r="I43" i="87" s="1"/>
  <c r="Z54" i="64"/>
  <c r="I39" i="87" s="1"/>
  <c r="X54" i="64"/>
  <c r="I34" i="87" s="1"/>
  <c r="W54" i="64"/>
  <c r="I31" i="87" s="1"/>
  <c r="V54" i="64"/>
  <c r="I29" i="87" s="1"/>
  <c r="U54" i="64"/>
  <c r="I28" i="87" s="1"/>
  <c r="T54" i="64"/>
  <c r="I23" i="87" s="1"/>
  <c r="S54" i="64"/>
  <c r="I18" i="87" s="1"/>
  <c r="R54" i="64"/>
  <c r="Q54" i="64"/>
  <c r="P54" i="64"/>
  <c r="AE26" i="64"/>
  <c r="AD26" i="64"/>
  <c r="AC26" i="64"/>
  <c r="AE43" i="64"/>
  <c r="AD43" i="64"/>
  <c r="AC43" i="64"/>
  <c r="S15" i="100"/>
  <c r="AE24" i="64"/>
  <c r="AD24" i="64"/>
  <c r="AC24" i="64"/>
  <c r="AE20" i="64"/>
  <c r="AD20" i="64"/>
  <c r="AC20" i="64"/>
  <c r="AE21" i="64"/>
  <c r="AD21" i="64"/>
  <c r="AC21" i="64"/>
  <c r="Q9" i="118"/>
  <c r="AE9" i="64"/>
  <c r="AD9" i="64"/>
  <c r="AC9" i="64"/>
  <c r="AE10" i="64"/>
  <c r="AD10" i="64"/>
  <c r="AC10" i="64"/>
  <c r="S13" i="118"/>
  <c r="AE12" i="64"/>
  <c r="AD12" i="64"/>
  <c r="AC12" i="64"/>
  <c r="AE11" i="64"/>
  <c r="AD11" i="64"/>
  <c r="AC11" i="64"/>
  <c r="AE15" i="64"/>
  <c r="AD15" i="64"/>
  <c r="AC15" i="64"/>
  <c r="O8" i="118"/>
  <c r="AE14" i="64"/>
  <c r="AD14" i="64"/>
  <c r="AC14" i="64"/>
  <c r="Q14" i="118"/>
  <c r="AE13" i="64"/>
  <c r="AD13" i="64"/>
  <c r="AC13" i="64"/>
  <c r="AE17" i="64"/>
  <c r="AD17" i="64"/>
  <c r="AC17" i="64"/>
  <c r="S8" i="118"/>
  <c r="Q14" i="100" l="1"/>
  <c r="Q7" i="118"/>
  <c r="O14" i="100"/>
  <c r="O7" i="118"/>
  <c r="O8" i="100"/>
  <c r="O13" i="118"/>
  <c r="Q8" i="100"/>
  <c r="Q13" i="118"/>
  <c r="Q20" i="100"/>
  <c r="U10" i="118"/>
  <c r="Q10" i="100"/>
  <c r="Q15" i="118"/>
  <c r="O20" i="100"/>
  <c r="Q10" i="118"/>
  <c r="X7" i="94"/>
  <c r="S13" i="100"/>
  <c r="V9" i="94"/>
  <c r="S8" i="100"/>
  <c r="T7" i="94"/>
  <c r="O13" i="100"/>
  <c r="T9" i="94"/>
  <c r="Q7" i="100"/>
  <c r="P55" i="64"/>
  <c r="I6" i="87"/>
  <c r="I13" i="87"/>
  <c r="V55" i="64"/>
  <c r="X55" i="64"/>
  <c r="Z55" i="64"/>
  <c r="Q55" i="64"/>
  <c r="I11" i="87"/>
  <c r="S55" i="64"/>
  <c r="U55" i="64"/>
  <c r="AA55" i="64"/>
  <c r="N17" i="64"/>
  <c r="K17" i="64"/>
  <c r="N13" i="64"/>
  <c r="K13" i="64"/>
  <c r="N14" i="64"/>
  <c r="K14" i="64"/>
  <c r="N15" i="64"/>
  <c r="K15" i="64"/>
  <c r="N11" i="64"/>
  <c r="K11" i="64"/>
  <c r="N12" i="64"/>
  <c r="K12" i="64"/>
  <c r="N10" i="64"/>
  <c r="K10" i="64"/>
  <c r="N9" i="64"/>
  <c r="K9" i="64"/>
  <c r="N21" i="64"/>
  <c r="K21" i="64"/>
  <c r="N20" i="64"/>
  <c r="K20" i="64"/>
  <c r="N24" i="64"/>
  <c r="K24" i="64"/>
  <c r="N43" i="64"/>
  <c r="K43" i="64"/>
  <c r="N26" i="64"/>
  <c r="K26" i="64"/>
  <c r="B26" i="64" s="1"/>
  <c r="M8" i="100" l="1"/>
  <c r="M13" i="118"/>
  <c r="D17" i="64"/>
  <c r="K4" i="1" l="1"/>
  <c r="I26" i="87" l="1"/>
  <c r="M177" i="125" l="1"/>
  <c r="I182" i="125" l="1"/>
  <c r="I180" i="125"/>
  <c r="I178" i="125"/>
  <c r="I181" i="125"/>
  <c r="I179" i="125"/>
  <c r="H201" i="125" s="1"/>
  <c r="H198" i="125"/>
  <c r="H207" i="125"/>
  <c r="H204" i="125" l="1"/>
  <c r="B316" i="125"/>
  <c r="B318" i="125"/>
  <c r="B319" i="125"/>
  <c r="B317" i="125"/>
  <c r="Y18" i="64" l="1"/>
  <c r="Y52" i="64"/>
  <c r="I52" i="64" s="1"/>
  <c r="Y44" i="64"/>
  <c r="I44" i="64" s="1"/>
  <c r="Y42" i="64"/>
  <c r="I42" i="64" s="1"/>
  <c r="Y35" i="64"/>
  <c r="I35" i="64" s="1"/>
  <c r="Y27" i="64"/>
  <c r="I27" i="64" s="1"/>
  <c r="Y19" i="64"/>
  <c r="Y36" i="64"/>
  <c r="I36" i="64" s="1"/>
  <c r="Y28" i="64"/>
  <c r="I28" i="64" s="1"/>
  <c r="Y46" i="64"/>
  <c r="I46" i="64" s="1"/>
  <c r="Y51" i="64"/>
  <c r="I51" i="64" s="1"/>
  <c r="Y29" i="64"/>
  <c r="I29" i="64" s="1"/>
  <c r="Y48" i="64"/>
  <c r="I48" i="64" s="1"/>
  <c r="Y53" i="64"/>
  <c r="I53" i="64" s="1"/>
  <c r="Y45" i="64"/>
  <c r="I45" i="64" s="1"/>
  <c r="Y39" i="64"/>
  <c r="I39" i="64" s="1"/>
  <c r="Y31" i="64"/>
  <c r="I31" i="64" s="1"/>
  <c r="Y23" i="64"/>
  <c r="I23" i="64" s="1"/>
  <c r="Y40" i="64"/>
  <c r="I40" i="64" s="1"/>
  <c r="Y32" i="64"/>
  <c r="I32" i="64" s="1"/>
  <c r="Y16" i="64"/>
  <c r="I16" i="64" s="1"/>
  <c r="Y50" i="64"/>
  <c r="I50" i="64" s="1"/>
  <c r="Y47" i="64"/>
  <c r="I47" i="64" s="1"/>
  <c r="I41" i="64"/>
  <c r="Y33" i="64"/>
  <c r="I33" i="64" s="1"/>
  <c r="Y25" i="64"/>
  <c r="I25" i="64" s="1"/>
  <c r="Y38" i="64"/>
  <c r="I38" i="64" s="1"/>
  <c r="Y30" i="64"/>
  <c r="I30" i="64" s="1"/>
  <c r="Y37" i="64"/>
  <c r="I37" i="64" s="1"/>
  <c r="Y34" i="64"/>
  <c r="I34" i="64" s="1"/>
  <c r="AH22" i="64"/>
  <c r="AI22" i="64" s="1"/>
  <c r="AH47" i="64"/>
  <c r="AI47" i="64" s="1"/>
  <c r="J22" i="64"/>
  <c r="AD22" i="64"/>
  <c r="AE22" i="64"/>
  <c r="AC22" i="64"/>
  <c r="Y8" i="64"/>
  <c r="AH19" i="64"/>
  <c r="AI19" i="64" s="1"/>
  <c r="AH29" i="64"/>
  <c r="AI29" i="64" s="1"/>
  <c r="AH25" i="64"/>
  <c r="AI25" i="64" s="1"/>
  <c r="AH36" i="64"/>
  <c r="AI36" i="64" s="1"/>
  <c r="AH35" i="64"/>
  <c r="AI35" i="64" s="1"/>
  <c r="AH42" i="64"/>
  <c r="AI42" i="64" s="1"/>
  <c r="AH45" i="64"/>
  <c r="AI45" i="64" s="1"/>
  <c r="AH50" i="64"/>
  <c r="AI50" i="64" s="1"/>
  <c r="AH16" i="64"/>
  <c r="AI16" i="64" s="1"/>
  <c r="AH30" i="64"/>
  <c r="AI30" i="64" s="1"/>
  <c r="AH37" i="64"/>
  <c r="AI37" i="64" s="1"/>
  <c r="AH40" i="64"/>
  <c r="AI40" i="64" s="1"/>
  <c r="AH39" i="64"/>
  <c r="AI39" i="64" s="1"/>
  <c r="AH46" i="64"/>
  <c r="AI46" i="64" s="1"/>
  <c r="AH51" i="64"/>
  <c r="AI51" i="64" s="1"/>
  <c r="AH18" i="64"/>
  <c r="AI18" i="64" s="1"/>
  <c r="AH23" i="64"/>
  <c r="AI23" i="64" s="1"/>
  <c r="AH33" i="64"/>
  <c r="AI33" i="64" s="1"/>
  <c r="AH31" i="64"/>
  <c r="AI31" i="64" s="1"/>
  <c r="AH32" i="64"/>
  <c r="AI32" i="64" s="1"/>
  <c r="AH48" i="64"/>
  <c r="AI48" i="64" s="1"/>
  <c r="AH52" i="64"/>
  <c r="AI52" i="64" s="1"/>
  <c r="AH28" i="64"/>
  <c r="AI28" i="64" s="1"/>
  <c r="AH27" i="64"/>
  <c r="AI27" i="64" s="1"/>
  <c r="AH38" i="64"/>
  <c r="AI38" i="64" s="1"/>
  <c r="AH34" i="64"/>
  <c r="AI34" i="64" s="1"/>
  <c r="AH44" i="64"/>
  <c r="AI44" i="64" s="1"/>
  <c r="AH53" i="64"/>
  <c r="AI53" i="64" s="1"/>
  <c r="AH41" i="64" l="1"/>
  <c r="AI41" i="64" s="1"/>
  <c r="I8" i="64"/>
  <c r="I19" i="64"/>
  <c r="I18" i="64"/>
  <c r="V10" i="130" s="1"/>
  <c r="AH8" i="64"/>
  <c r="AI8" i="64" s="1"/>
  <c r="J47" i="64"/>
  <c r="AC47" i="64"/>
  <c r="AE47" i="64"/>
  <c r="AD47" i="64"/>
  <c r="T8" i="94"/>
  <c r="K22" i="64"/>
  <c r="N22" i="64"/>
  <c r="J8" i="64"/>
  <c r="AD8" i="64"/>
  <c r="AE8" i="64"/>
  <c r="AC8" i="64"/>
  <c r="AC53" i="64"/>
  <c r="AE53" i="64"/>
  <c r="J53" i="64"/>
  <c r="AD53" i="64"/>
  <c r="J41" i="64"/>
  <c r="AC41" i="64"/>
  <c r="AD41" i="64"/>
  <c r="AE41" i="64"/>
  <c r="J38" i="64"/>
  <c r="AE38" i="64"/>
  <c r="AC38" i="64"/>
  <c r="AD38" i="64"/>
  <c r="J28" i="64"/>
  <c r="AE28" i="64"/>
  <c r="AC28" i="64"/>
  <c r="AD28" i="64"/>
  <c r="AC52" i="64"/>
  <c r="J52" i="64"/>
  <c r="AE52" i="64"/>
  <c r="AD52" i="64"/>
  <c r="X9" i="130"/>
  <c r="R9" i="130" s="1"/>
  <c r="J32" i="64"/>
  <c r="AE32" i="64"/>
  <c r="AC32" i="64"/>
  <c r="AD32" i="64"/>
  <c r="J33" i="64"/>
  <c r="AE33" i="64"/>
  <c r="AC33" i="64"/>
  <c r="AD33" i="64"/>
  <c r="J18" i="64"/>
  <c r="AE18" i="64"/>
  <c r="AC18" i="64"/>
  <c r="AD18" i="64"/>
  <c r="J51" i="64"/>
  <c r="AC51" i="64"/>
  <c r="AD51" i="64"/>
  <c r="AE51" i="64"/>
  <c r="J39" i="64"/>
  <c r="AE39" i="64"/>
  <c r="AC39" i="64"/>
  <c r="AD39" i="64"/>
  <c r="J37" i="64"/>
  <c r="AD37" i="64"/>
  <c r="AE37" i="64"/>
  <c r="AC37" i="64"/>
  <c r="V7" i="130"/>
  <c r="R7" i="130" s="1"/>
  <c r="J16" i="64"/>
  <c r="Y54" i="64"/>
  <c r="I38" i="87" s="1"/>
  <c r="AE16" i="64"/>
  <c r="AC16" i="64"/>
  <c r="AD16" i="64"/>
  <c r="J50" i="64"/>
  <c r="AE50" i="64"/>
  <c r="AC50" i="64"/>
  <c r="AD50" i="64"/>
  <c r="J42" i="64"/>
  <c r="AE42" i="64"/>
  <c r="AC42" i="64"/>
  <c r="AD42" i="64"/>
  <c r="J36" i="64"/>
  <c r="AC36" i="64"/>
  <c r="AE36" i="64"/>
  <c r="AD36" i="64"/>
  <c r="J29" i="64"/>
  <c r="AD29" i="64"/>
  <c r="AE29" i="64"/>
  <c r="AC29" i="64"/>
  <c r="J44" i="64"/>
  <c r="AE44" i="64"/>
  <c r="AC44" i="64"/>
  <c r="AD44" i="64"/>
  <c r="J34" i="64"/>
  <c r="AD34" i="64"/>
  <c r="AE34" i="64"/>
  <c r="AC34" i="64"/>
  <c r="V11" i="130"/>
  <c r="J27" i="64"/>
  <c r="AD27" i="64"/>
  <c r="AE27" i="64"/>
  <c r="AC27" i="64"/>
  <c r="J48" i="64"/>
  <c r="AE48" i="64"/>
  <c r="AC48" i="64"/>
  <c r="AD48" i="64"/>
  <c r="X11" i="130"/>
  <c r="J31" i="64"/>
  <c r="AD31" i="64"/>
  <c r="AE31" i="64"/>
  <c r="AC31" i="64"/>
  <c r="AC23" i="64"/>
  <c r="AE23" i="64"/>
  <c r="AD23" i="64"/>
  <c r="J23" i="64"/>
  <c r="K23" i="64" s="1"/>
  <c r="J46" i="64"/>
  <c r="AD46" i="64"/>
  <c r="AE46" i="64"/>
  <c r="AC46" i="64"/>
  <c r="J40" i="64"/>
  <c r="AE40" i="64"/>
  <c r="AC40" i="64"/>
  <c r="AD40" i="64"/>
  <c r="J30" i="64"/>
  <c r="AE30" i="64"/>
  <c r="AC30" i="64"/>
  <c r="AD30" i="64"/>
  <c r="J45" i="64"/>
  <c r="AE45" i="64"/>
  <c r="AC45" i="64"/>
  <c r="AD45" i="64"/>
  <c r="J35" i="64"/>
  <c r="AE35" i="64"/>
  <c r="AC35" i="64"/>
  <c r="AD35" i="64"/>
  <c r="X8" i="130"/>
  <c r="R8" i="130" s="1"/>
  <c r="J25" i="64"/>
  <c r="AE25" i="64"/>
  <c r="AC25" i="64"/>
  <c r="AD25" i="64"/>
  <c r="J19" i="64"/>
  <c r="AE19" i="64"/>
  <c r="AC19" i="64"/>
  <c r="AD19" i="64"/>
  <c r="T10" i="130" l="1"/>
  <c r="E54" i="64"/>
  <c r="N47" i="64"/>
  <c r="K47" i="64"/>
  <c r="R11" i="130"/>
  <c r="R10" i="130"/>
  <c r="O14" i="118"/>
  <c r="V10" i="94"/>
  <c r="N8" i="64"/>
  <c r="O19" i="100"/>
  <c r="K8" i="64"/>
  <c r="S9" i="118"/>
  <c r="X9" i="94"/>
  <c r="R9" i="94" s="1"/>
  <c r="S7" i="100"/>
  <c r="K19" i="64"/>
  <c r="N19" i="64"/>
  <c r="S7" i="118"/>
  <c r="M7" i="118" s="1"/>
  <c r="N25" i="64"/>
  <c r="K25" i="64"/>
  <c r="S14" i="100"/>
  <c r="M14" i="100" s="1"/>
  <c r="K35" i="64"/>
  <c r="N35" i="64"/>
  <c r="Q9" i="100"/>
  <c r="K45" i="64"/>
  <c r="N45" i="64"/>
  <c r="U9" i="100"/>
  <c r="O10" i="118"/>
  <c r="K30" i="64"/>
  <c r="N30" i="64"/>
  <c r="Q19" i="100"/>
  <c r="N40" i="64"/>
  <c r="K40" i="64"/>
  <c r="W9" i="100"/>
  <c r="N46" i="64"/>
  <c r="K46" i="64"/>
  <c r="Q21" i="100"/>
  <c r="O16" i="118"/>
  <c r="N23" i="64"/>
  <c r="S15" i="118"/>
  <c r="K31" i="64"/>
  <c r="N31" i="64"/>
  <c r="Q16" i="118"/>
  <c r="N48" i="64"/>
  <c r="K48" i="64"/>
  <c r="X8" i="94"/>
  <c r="N27" i="64"/>
  <c r="K27" i="64"/>
  <c r="K34" i="64"/>
  <c r="N34" i="64"/>
  <c r="O9" i="100"/>
  <c r="N44" i="64"/>
  <c r="K44" i="64"/>
  <c r="S19" i="100"/>
  <c r="S14" i="118"/>
  <c r="N29" i="64"/>
  <c r="K29" i="64"/>
  <c r="O10" i="100"/>
  <c r="N42" i="64"/>
  <c r="K42" i="64"/>
  <c r="S20" i="100"/>
  <c r="M20" i="100" s="1"/>
  <c r="N50" i="64"/>
  <c r="K50" i="64"/>
  <c r="AD54" i="64"/>
  <c r="AE54" i="64"/>
  <c r="K41" i="64"/>
  <c r="O7" i="100"/>
  <c r="M7" i="100" s="1"/>
  <c r="N41" i="64"/>
  <c r="N36" i="64"/>
  <c r="S16" i="118"/>
  <c r="K36" i="64"/>
  <c r="S10" i="100"/>
  <c r="Q8" i="118"/>
  <c r="M8" i="118" s="1"/>
  <c r="Q13" i="100"/>
  <c r="M13" i="100" s="1"/>
  <c r="V7" i="94"/>
  <c r="R7" i="94" s="1"/>
  <c r="K16" i="64"/>
  <c r="N16" i="64"/>
  <c r="O21" i="100"/>
  <c r="K37" i="64"/>
  <c r="N37" i="64"/>
  <c r="S21" i="100"/>
  <c r="K39" i="64"/>
  <c r="N39" i="64"/>
  <c r="N51" i="64"/>
  <c r="K51" i="64"/>
  <c r="X10" i="94"/>
  <c r="K18" i="64"/>
  <c r="N18" i="64"/>
  <c r="O15" i="100"/>
  <c r="M15" i="100" s="1"/>
  <c r="O9" i="118"/>
  <c r="M9" i="118" s="1"/>
  <c r="N33" i="64"/>
  <c r="K33" i="64"/>
  <c r="W10" i="118"/>
  <c r="K32" i="64"/>
  <c r="N32" i="64"/>
  <c r="K52" i="64"/>
  <c r="N52" i="64"/>
  <c r="T10" i="94"/>
  <c r="R10" i="94" s="1"/>
  <c r="O15" i="118"/>
  <c r="K28" i="64"/>
  <c r="N28" i="64"/>
  <c r="V8" i="94"/>
  <c r="R8" i="94" s="1"/>
  <c r="N38" i="64"/>
  <c r="K38" i="64"/>
  <c r="K53" i="64"/>
  <c r="N53" i="64"/>
  <c r="M15" i="118" l="1"/>
  <c r="M14" i="118"/>
  <c r="L47" i="64"/>
  <c r="O47" i="64"/>
  <c r="L53" i="64"/>
  <c r="O38" i="64"/>
  <c r="O28" i="64"/>
  <c r="O52" i="64"/>
  <c r="O32" i="64"/>
  <c r="O33" i="64"/>
  <c r="L18" i="64"/>
  <c r="L51" i="64"/>
  <c r="O39" i="64"/>
  <c r="L37" i="64"/>
  <c r="O49" i="64"/>
  <c r="O43" i="64"/>
  <c r="O10" i="64"/>
  <c r="O11" i="64"/>
  <c r="O14" i="64"/>
  <c r="O8" i="64"/>
  <c r="O12" i="64"/>
  <c r="O13" i="64"/>
  <c r="O26" i="64"/>
  <c r="O24" i="64"/>
  <c r="O20" i="64"/>
  <c r="O22" i="64"/>
  <c r="O21" i="64"/>
  <c r="O16" i="64"/>
  <c r="O9" i="64"/>
  <c r="O15" i="64"/>
  <c r="O17" i="64"/>
  <c r="L36" i="64"/>
  <c r="O36" i="64"/>
  <c r="L50" i="64"/>
  <c r="O42" i="64"/>
  <c r="B29" i="64"/>
  <c r="L29" i="64"/>
  <c r="B44" i="64"/>
  <c r="D44" i="64"/>
  <c r="L44" i="64"/>
  <c r="B34" i="64"/>
  <c r="L34" i="64"/>
  <c r="O27" i="64"/>
  <c r="L48" i="64"/>
  <c r="M16" i="118"/>
  <c r="L31" i="64"/>
  <c r="O23" i="64"/>
  <c r="L46" i="64"/>
  <c r="O40" i="64"/>
  <c r="O30" i="64"/>
  <c r="M10" i="118"/>
  <c r="O45" i="64"/>
  <c r="L35" i="64"/>
  <c r="D25" i="64"/>
  <c r="L25" i="64"/>
  <c r="L19" i="64"/>
  <c r="O53" i="64"/>
  <c r="L38" i="64"/>
  <c r="L28" i="64"/>
  <c r="L52" i="64"/>
  <c r="L32" i="64"/>
  <c r="L33" i="64"/>
  <c r="O18" i="64"/>
  <c r="O51" i="64"/>
  <c r="B39" i="64"/>
  <c r="L39" i="64"/>
  <c r="O37" i="64"/>
  <c r="M21" i="100"/>
  <c r="L26" i="64"/>
  <c r="L24" i="64"/>
  <c r="L20" i="64"/>
  <c r="L22" i="64"/>
  <c r="L21" i="64"/>
  <c r="L16" i="64"/>
  <c r="L9" i="64"/>
  <c r="L12" i="64"/>
  <c r="L15" i="64"/>
  <c r="L13" i="64"/>
  <c r="L17" i="64"/>
  <c r="L49" i="64"/>
  <c r="L43" i="64"/>
  <c r="L10" i="64"/>
  <c r="L11" i="64"/>
  <c r="L14" i="64"/>
  <c r="L8" i="64"/>
  <c r="O41" i="64"/>
  <c r="L41" i="64"/>
  <c r="O50" i="64"/>
  <c r="D42" i="64"/>
  <c r="L42" i="64"/>
  <c r="M10" i="100"/>
  <c r="O29" i="64"/>
  <c r="O44" i="64"/>
  <c r="O34" i="64"/>
  <c r="L27" i="64"/>
  <c r="O48" i="64"/>
  <c r="O31" i="64"/>
  <c r="L23" i="64"/>
  <c r="O46" i="64"/>
  <c r="L40" i="64"/>
  <c r="M19" i="100"/>
  <c r="L30" i="64"/>
  <c r="M9" i="100"/>
  <c r="L45" i="64"/>
  <c r="O35" i="64"/>
  <c r="O25" i="64"/>
  <c r="O19" i="64"/>
  <c r="C42" i="64" l="1"/>
  <c r="E45" i="64"/>
  <c r="E47" i="64"/>
  <c r="E30" i="64"/>
  <c r="E40" i="64"/>
  <c r="E23" i="64"/>
  <c r="E42" i="64"/>
  <c r="E14" i="64"/>
  <c r="E10" i="64"/>
  <c r="E49" i="64"/>
  <c r="E13" i="64"/>
  <c r="E12" i="64"/>
  <c r="E16" i="64"/>
  <c r="E22" i="64"/>
  <c r="E24" i="64"/>
  <c r="E39" i="64"/>
  <c r="E33" i="64"/>
  <c r="E52" i="64"/>
  <c r="E38" i="64"/>
  <c r="E19" i="64"/>
  <c r="C17" i="64"/>
  <c r="C25" i="64"/>
  <c r="E34" i="64"/>
  <c r="E44" i="64"/>
  <c r="A44" i="64"/>
  <c r="A29" i="64"/>
  <c r="A26" i="64"/>
  <c r="E50" i="64"/>
  <c r="E18" i="64"/>
  <c r="E53" i="64"/>
  <c r="E27" i="64"/>
  <c r="E41" i="64"/>
  <c r="E8" i="64"/>
  <c r="E11" i="64"/>
  <c r="E43" i="64"/>
  <c r="E17" i="64"/>
  <c r="E15" i="64"/>
  <c r="E9" i="64"/>
  <c r="E21" i="64"/>
  <c r="E20" i="64"/>
  <c r="E26" i="64"/>
  <c r="A39" i="64"/>
  <c r="E32" i="64"/>
  <c r="E28" i="64"/>
  <c r="E25" i="64"/>
  <c r="E35" i="64"/>
  <c r="E46" i="64"/>
  <c r="E31" i="64"/>
  <c r="E48" i="64"/>
  <c r="A34" i="64"/>
  <c r="C44" i="64"/>
  <c r="E29" i="64"/>
  <c r="E36" i="64"/>
  <c r="E37" i="64"/>
  <c r="E51" i="64"/>
  <c r="C54" i="64" l="1"/>
  <c r="A54" i="64"/>
  <c r="AK7" i="88"/>
  <c r="AL17" i="88"/>
  <c r="AL23" i="88"/>
  <c r="AK54" i="88"/>
  <c r="AK23" i="88"/>
  <c r="AK51" i="88"/>
  <c r="AL11" i="88"/>
  <c r="AK44" i="88"/>
  <c r="AK20" i="88"/>
  <c r="AK10" i="88"/>
  <c r="AL12" i="88"/>
  <c r="AK31" i="88"/>
  <c r="AK15" i="88"/>
  <c r="AL20" i="88"/>
  <c r="AL7" i="88"/>
  <c r="AK30" i="88"/>
  <c r="AK40" i="88"/>
  <c r="AL57" i="88"/>
  <c r="AL30" i="88"/>
  <c r="AK39" i="88"/>
  <c r="AL46" i="88"/>
  <c r="AL45" i="88"/>
  <c r="AK61" i="88"/>
  <c r="AL43" i="88"/>
  <c r="AK38" i="88"/>
  <c r="AL50" i="88"/>
  <c r="AL21" i="88"/>
  <c r="AK32" i="88"/>
  <c r="AK8" i="88"/>
  <c r="AK9" i="88"/>
  <c r="AL44" i="88"/>
  <c r="AL26" i="88"/>
  <c r="AL10" i="88"/>
  <c r="AL25" i="88"/>
  <c r="AK24" i="88"/>
  <c r="AK14" i="88"/>
  <c r="AK49" i="88"/>
  <c r="AK43" i="88"/>
  <c r="AK12" i="88"/>
  <c r="AL61" i="88"/>
  <c r="AL49" i="88"/>
  <c r="AL15" i="88"/>
  <c r="AK55" i="88"/>
  <c r="AL62" i="88"/>
  <c r="AL29" i="88"/>
  <c r="AL39" i="88"/>
  <c r="AK52" i="88"/>
  <c r="AL38" i="88"/>
  <c r="AK50" i="88"/>
  <c r="AL18" i="88"/>
  <c r="AK47" i="88"/>
  <c r="AK35" i="88"/>
  <c r="AL66" i="88"/>
  <c r="AL53" i="88"/>
  <c r="AL63" i="88"/>
  <c r="AK65" i="88"/>
  <c r="AK59" i="88"/>
  <c r="AL58" i="88"/>
  <c r="AL60" i="88"/>
  <c r="AK64" i="88"/>
  <c r="O7" i="88"/>
  <c r="AJ7" i="88"/>
  <c r="AL51" i="88"/>
  <c r="AL13" i="88"/>
  <c r="AL54" i="88"/>
  <c r="AL9" i="88"/>
  <c r="AK42" i="88"/>
  <c r="AK26" i="88"/>
  <c r="AK28" i="88"/>
  <c r="AK25" i="88"/>
  <c r="AL24" i="88"/>
  <c r="AL16" i="88"/>
  <c r="AK29" i="88"/>
  <c r="AL22" i="88"/>
  <c r="AK36" i="88"/>
  <c r="AL14" i="88"/>
  <c r="AL34" i="88"/>
  <c r="AL31" i="88"/>
  <c r="AK37" i="88"/>
  <c r="AK33" i="88"/>
  <c r="AL41" i="88"/>
  <c r="AL19" i="88"/>
  <c r="AL56" i="88"/>
  <c r="AK46" i="88"/>
  <c r="AK17" i="88"/>
  <c r="AL48" i="88"/>
  <c r="AK18" i="88"/>
  <c r="AK11" i="88"/>
  <c r="AL27" i="88"/>
  <c r="AL42" i="88"/>
  <c r="AK27" i="88"/>
  <c r="AL8" i="88"/>
  <c r="AK13" i="88"/>
  <c r="AL28" i="88"/>
  <c r="AK16" i="88"/>
  <c r="AK45" i="88"/>
  <c r="AK41" i="88"/>
  <c r="AK22" i="88"/>
  <c r="AL33" i="88"/>
  <c r="AK62" i="88"/>
  <c r="AL36" i="88"/>
  <c r="AK56" i="88"/>
  <c r="AK19" i="88"/>
  <c r="AL52" i="88"/>
  <c r="AL40" i="88"/>
  <c r="AK34" i="88"/>
  <c r="AL55" i="88"/>
  <c r="AK57" i="88"/>
  <c r="AL37" i="88"/>
  <c r="AK21" i="88"/>
  <c r="AK48" i="88"/>
  <c r="AL32" i="88"/>
  <c r="AL47" i="88"/>
  <c r="AL59" i="88"/>
  <c r="AK58" i="88"/>
  <c r="AK60" i="88"/>
  <c r="AL65" i="88"/>
  <c r="AL35" i="88"/>
  <c r="AK66" i="88"/>
  <c r="AK53" i="88"/>
  <c r="AL64" i="88"/>
  <c r="AK63" i="88"/>
  <c r="AF7" i="88"/>
  <c r="AA67" i="88"/>
  <c r="I30" i="87" s="1"/>
  <c r="N7" i="88"/>
  <c r="AL16" i="144" l="1"/>
  <c r="AH16" i="144" s="1"/>
  <c r="AJ10" i="145"/>
  <c r="AH10" i="145" s="1"/>
  <c r="AJ11" i="142"/>
  <c r="AH11" i="142" s="1"/>
  <c r="AJ8" i="143"/>
  <c r="AH8" i="143" s="1"/>
  <c r="H67" i="88"/>
  <c r="AJ8" i="141"/>
  <c r="AH8" i="141" s="1"/>
  <c r="AK67" i="88"/>
  <c r="S7" i="88"/>
  <c r="P7" i="88"/>
  <c r="AJ12" i="140"/>
  <c r="AH12" i="140" s="1"/>
  <c r="AL8" i="137"/>
  <c r="AH8" i="137" s="1"/>
  <c r="AJ12" i="138"/>
  <c r="AH12" i="138" s="1"/>
  <c r="AL16" i="136"/>
  <c r="AH16" i="136" s="1"/>
  <c r="AL12" i="131"/>
  <c r="AH12" i="131" s="1"/>
  <c r="AA68" i="88"/>
  <c r="Q57" i="88" l="1"/>
  <c r="Q56" i="88"/>
  <c r="Q60" i="88"/>
  <c r="Q59" i="88"/>
  <c r="Q63" i="88"/>
  <c r="Q53" i="88"/>
  <c r="Q7" i="88"/>
  <c r="Q23" i="88"/>
  <c r="Q25" i="88"/>
  <c r="Q8" i="88"/>
  <c r="Q64" i="88"/>
  <c r="Q35" i="88"/>
  <c r="Q38" i="88"/>
  <c r="Q22" i="88"/>
  <c r="Q40" i="88"/>
  <c r="Q49" i="88"/>
  <c r="Q27" i="88"/>
  <c r="Q17" i="88"/>
  <c r="Q34" i="88"/>
  <c r="Q41" i="88"/>
  <c r="Q19" i="88"/>
  <c r="Q61" i="88"/>
  <c r="Q21" i="88"/>
  <c r="Q58" i="88"/>
  <c r="Q18" i="88"/>
  <c r="Q44" i="88"/>
  <c r="Q11" i="88"/>
  <c r="Q30" i="88"/>
  <c r="Q14" i="88"/>
  <c r="Q26" i="88"/>
  <c r="Q28" i="88"/>
  <c r="Q48" i="88"/>
  <c r="Q45" i="88"/>
  <c r="Q54" i="88"/>
  <c r="Q10" i="88"/>
  <c r="Q39" i="88"/>
  <c r="Q15" i="88"/>
  <c r="Q37" i="88"/>
  <c r="Q13" i="88"/>
  <c r="Q51" i="88"/>
  <c r="Q66" i="88"/>
  <c r="Q32" i="88"/>
  <c r="Q29" i="88"/>
  <c r="Q43" i="88"/>
  <c r="Q20" i="88"/>
  <c r="Q24" i="88"/>
  <c r="Q50" i="88"/>
  <c r="Q65" i="88"/>
  <c r="Q47" i="88"/>
  <c r="Q16" i="88"/>
  <c r="Q52" i="88"/>
  <c r="Q33" i="88"/>
  <c r="Q46" i="88"/>
  <c r="Q9" i="88"/>
  <c r="Q42" i="88"/>
  <c r="Q31" i="88"/>
  <c r="Q12" i="88"/>
  <c r="Q55" i="88"/>
  <c r="Q62" i="88"/>
  <c r="Q36" i="88"/>
  <c r="T33" i="88"/>
  <c r="T43" i="88"/>
  <c r="T39" i="88"/>
  <c r="T8" i="88"/>
  <c r="T17" i="88"/>
  <c r="T16" i="88"/>
  <c r="T13" i="88"/>
  <c r="T38" i="88"/>
  <c r="T9" i="88"/>
  <c r="T24" i="88"/>
  <c r="T15" i="88"/>
  <c r="T46" i="88"/>
  <c r="T61" i="88"/>
  <c r="T19" i="88"/>
  <c r="T34" i="88"/>
  <c r="T22" i="88"/>
  <c r="T30" i="88"/>
  <c r="T20" i="88"/>
  <c r="T45" i="88"/>
  <c r="T42" i="88"/>
  <c r="T54" i="88"/>
  <c r="T52" i="88"/>
  <c r="T37" i="88"/>
  <c r="T55" i="88"/>
  <c r="T29" i="88"/>
  <c r="T28" i="88"/>
  <c r="T51" i="88"/>
  <c r="T11" i="88"/>
  <c r="T27" i="88"/>
  <c r="T50" i="88"/>
  <c r="T12" i="88"/>
  <c r="T14" i="88"/>
  <c r="T31" i="88"/>
  <c r="T36" i="88"/>
  <c r="T23" i="88"/>
  <c r="T57" i="88"/>
  <c r="T62" i="88"/>
  <c r="T40" i="88"/>
  <c r="T47" i="88"/>
  <c r="T60" i="88"/>
  <c r="T66" i="88"/>
  <c r="T53" i="88"/>
  <c r="T64" i="88"/>
  <c r="T44" i="88"/>
  <c r="T18" i="88"/>
  <c r="T21" i="88"/>
  <c r="T26" i="88"/>
  <c r="T25" i="88"/>
  <c r="T49" i="88"/>
  <c r="T7" i="88"/>
  <c r="T65" i="88"/>
  <c r="T56" i="88"/>
  <c r="T48" i="88"/>
  <c r="T32" i="88"/>
  <c r="T59" i="88"/>
  <c r="T63" i="88"/>
  <c r="T41" i="88"/>
  <c r="T10" i="88"/>
  <c r="T35" i="88"/>
  <c r="T58" i="88"/>
  <c r="H62" i="88" l="1"/>
  <c r="U35" i="88"/>
  <c r="H59" i="88"/>
  <c r="H57" i="88"/>
  <c r="H60" i="88"/>
  <c r="H56" i="88"/>
  <c r="U58" i="88"/>
  <c r="U10" i="88"/>
  <c r="AG10" i="88" s="1"/>
  <c r="U41" i="88"/>
  <c r="AG41" i="88" s="1"/>
  <c r="U63" i="88"/>
  <c r="U32" i="88"/>
  <c r="U56" i="88"/>
  <c r="U65" i="88"/>
  <c r="U7" i="88"/>
  <c r="AG7" i="88" s="1"/>
  <c r="U25" i="88"/>
  <c r="AG25" i="88" s="1"/>
  <c r="U21" i="88"/>
  <c r="AG21" i="88" s="1"/>
  <c r="U44" i="88"/>
  <c r="AG44" i="88" s="1"/>
  <c r="U53" i="88"/>
  <c r="U60" i="88"/>
  <c r="U23" i="88"/>
  <c r="AG23" i="88" s="1"/>
  <c r="U31" i="88"/>
  <c r="AG31" i="88" s="1"/>
  <c r="U12" i="88"/>
  <c r="AG12" i="88" s="1"/>
  <c r="U27" i="88"/>
  <c r="AG27" i="88" s="1"/>
  <c r="U51" i="88"/>
  <c r="AG51" i="88" s="1"/>
  <c r="U29" i="88"/>
  <c r="AG29" i="88" s="1"/>
  <c r="U55" i="88"/>
  <c r="U54" i="88"/>
  <c r="U45" i="88"/>
  <c r="AG45" i="88" s="1"/>
  <c r="U30" i="88"/>
  <c r="AG30" i="88" s="1"/>
  <c r="U34" i="88"/>
  <c r="AG34" i="88" s="1"/>
  <c r="U61" i="88"/>
  <c r="U46" i="88"/>
  <c r="U24" i="88"/>
  <c r="AG24" i="88" s="1"/>
  <c r="U38" i="88"/>
  <c r="AG38" i="88" s="1"/>
  <c r="U16" i="88"/>
  <c r="AG16" i="88" s="1"/>
  <c r="U8" i="88"/>
  <c r="AG8" i="88" s="1"/>
  <c r="U43" i="88"/>
  <c r="AG43" i="88" s="1"/>
  <c r="H36" i="88"/>
  <c r="H55" i="88"/>
  <c r="H31" i="88"/>
  <c r="H9" i="88"/>
  <c r="H33" i="88"/>
  <c r="H16" i="88"/>
  <c r="H65" i="88"/>
  <c r="H24" i="88"/>
  <c r="H43" i="88"/>
  <c r="H32" i="88"/>
  <c r="H51" i="88"/>
  <c r="H37" i="88"/>
  <c r="H39" i="88"/>
  <c r="H54" i="88"/>
  <c r="H48" i="88"/>
  <c r="H26" i="88"/>
  <c r="H30" i="88"/>
  <c r="H44" i="88"/>
  <c r="H58" i="88"/>
  <c r="H61" i="88"/>
  <c r="H41" i="88"/>
  <c r="H17" i="88"/>
  <c r="H49" i="88"/>
  <c r="H22" i="88"/>
  <c r="H35" i="88"/>
  <c r="H8" i="88"/>
  <c r="H23" i="88"/>
  <c r="H7" i="88"/>
  <c r="H53" i="88"/>
  <c r="U59" i="88"/>
  <c r="U48" i="88"/>
  <c r="U49" i="88"/>
  <c r="AG49" i="88" s="1"/>
  <c r="U26" i="88"/>
  <c r="AG26" i="88" s="1"/>
  <c r="U18" i="88"/>
  <c r="AG18" i="88" s="1"/>
  <c r="U64" i="88"/>
  <c r="U66" i="88"/>
  <c r="U47" i="88"/>
  <c r="U40" i="88"/>
  <c r="AG40" i="88" s="1"/>
  <c r="U62" i="88"/>
  <c r="U57" i="88"/>
  <c r="U36" i="88"/>
  <c r="AG36" i="88" s="1"/>
  <c r="U14" i="88"/>
  <c r="AG14" i="88" s="1"/>
  <c r="U50" i="88"/>
  <c r="AG50" i="88" s="1"/>
  <c r="U11" i="88"/>
  <c r="AG11" i="88" s="1"/>
  <c r="U28" i="88"/>
  <c r="AG28" i="88" s="1"/>
  <c r="U37" i="88"/>
  <c r="U52" i="88"/>
  <c r="U42" i="88"/>
  <c r="AG42" i="88" s="1"/>
  <c r="U20" i="88"/>
  <c r="AG20" i="88" s="1"/>
  <c r="U22" i="88"/>
  <c r="AG22" i="88" s="1"/>
  <c r="U19" i="88"/>
  <c r="AG19" i="88" s="1"/>
  <c r="U15" i="88"/>
  <c r="AG15" i="88" s="1"/>
  <c r="U9" i="88"/>
  <c r="AG9" i="88" s="1"/>
  <c r="U13" i="88"/>
  <c r="AG13" i="88" s="1"/>
  <c r="U17" i="88"/>
  <c r="AG17" i="88" s="1"/>
  <c r="U39" i="88"/>
  <c r="AG39" i="88" s="1"/>
  <c r="U33" i="88"/>
  <c r="AG33" i="88" s="1"/>
  <c r="H12" i="88"/>
  <c r="H42" i="88"/>
  <c r="H46" i="88"/>
  <c r="H52" i="88"/>
  <c r="H47" i="88"/>
  <c r="H50" i="88"/>
  <c r="H20" i="88"/>
  <c r="H29" i="88"/>
  <c r="H66" i="88"/>
  <c r="H13" i="88"/>
  <c r="H15" i="88"/>
  <c r="H45" i="88"/>
  <c r="H28" i="88"/>
  <c r="H14" i="88"/>
  <c r="H11" i="88"/>
  <c r="H18" i="88"/>
  <c r="H21" i="88"/>
  <c r="H19" i="88"/>
  <c r="H34" i="88"/>
  <c r="H27" i="88"/>
  <c r="H40" i="88"/>
  <c r="H38" i="88"/>
  <c r="H64" i="88"/>
  <c r="H25" i="88"/>
  <c r="H63" i="88"/>
  <c r="AH33" i="88" l="1"/>
  <c r="AH39" i="88"/>
  <c r="AH40" i="88"/>
  <c r="AH41" i="88"/>
  <c r="AH17" i="88"/>
  <c r="AH9" i="88"/>
  <c r="AH22" i="88"/>
  <c r="AH42" i="88"/>
  <c r="AH28" i="88"/>
  <c r="AH50" i="88"/>
  <c r="AH36" i="88"/>
  <c r="AH26" i="88"/>
  <c r="AH43" i="88"/>
  <c r="AH16" i="88"/>
  <c r="AH24" i="88"/>
  <c r="AH30" i="88"/>
  <c r="AH51" i="88"/>
  <c r="AH12" i="88"/>
  <c r="AH23" i="88"/>
  <c r="AH44" i="88"/>
  <c r="AH25" i="88"/>
  <c r="AH13" i="88"/>
  <c r="AH15" i="88"/>
  <c r="AH19" i="88"/>
  <c r="AH20" i="88"/>
  <c r="AH11" i="88"/>
  <c r="AH14" i="88"/>
  <c r="AH18" i="88"/>
  <c r="AH49" i="88"/>
  <c r="AH8" i="88"/>
  <c r="AH38" i="88"/>
  <c r="AH34" i="88"/>
  <c r="AH45" i="88"/>
  <c r="AH29" i="88"/>
  <c r="AH27" i="88"/>
  <c r="AH31" i="88"/>
  <c r="AH21" i="88"/>
  <c r="AH7" i="88"/>
</calcChain>
</file>

<file path=xl/comments1.xml><?xml version="1.0" encoding="utf-8"?>
<comments xmlns="http://schemas.openxmlformats.org/spreadsheetml/2006/main">
  <authors>
    <author>Author</author>
  </authors>
  <commentList>
    <comment ref="I3" authorId="0">
      <text>
        <r>
          <rPr>
            <b/>
            <sz val="8"/>
            <color indexed="81"/>
            <rFont val="Tahoma"/>
            <family val="2"/>
            <charset val="186"/>
          </rPr>
          <t>Osalejate arv</t>
        </r>
      </text>
    </comment>
    <comment ref="F5" authorId="0">
      <text>
        <r>
          <rPr>
            <b/>
            <sz val="8"/>
            <color indexed="81"/>
            <rFont val="Tahoma"/>
            <family val="2"/>
            <charset val="186"/>
          </rPr>
          <t>Voka, Narva mnt 2
Voka petangihall</t>
        </r>
      </text>
    </comment>
    <comment ref="B6" authorId="0">
      <text>
        <r>
          <rPr>
            <b/>
            <sz val="8"/>
            <color indexed="81"/>
            <rFont val="Tahoma"/>
            <family val="2"/>
            <charset val="186"/>
          </rPr>
          <t>Õhtul läheb vara pimedaks</t>
        </r>
      </text>
    </comment>
    <comment ref="F6" authorId="0">
      <text>
        <r>
          <rPr>
            <b/>
            <sz val="8"/>
            <color indexed="81"/>
            <rFont val="Tahoma"/>
            <family val="2"/>
            <charset val="186"/>
          </rPr>
          <t>Kohtla-Järve, Järveküla tee 44
Spordihoone taga</t>
        </r>
      </text>
    </comment>
    <comment ref="D7" authorId="0">
      <text>
        <r>
          <rPr>
            <b/>
            <sz val="8"/>
            <color indexed="81"/>
            <rFont val="Tahoma"/>
            <family val="2"/>
            <charset val="186"/>
          </rPr>
          <t>6 üksikut (sh naine) x 2 punkti = 12 punkti
3 duot (sh segaduo) x 3 punkti =   9 punkti
2 triot (sh segatrio)  x 5 punkti = 10 punkti</t>
        </r>
      </text>
    </comment>
    <comment ref="F7" authorId="0">
      <text>
        <r>
          <rPr>
            <b/>
            <sz val="8"/>
            <color indexed="81"/>
            <rFont val="Tahoma"/>
            <family val="2"/>
            <charset val="186"/>
          </rPr>
          <t>Voka, Metsa 2
Voka staadion</t>
        </r>
      </text>
    </comment>
    <comment ref="H7" authorId="0">
      <text>
        <r>
          <rPr>
            <b/>
            <sz val="8"/>
            <color indexed="81"/>
            <rFont val="Tahoma"/>
            <family val="2"/>
            <charset val="186"/>
          </rPr>
          <t>50 € võistkond
Klubide karikal osalemiseks peavad olema: 
 - petankeri litsents, 
 - võistluskuulid, 
 - meeskonnal ühtne võistlussärk.</t>
        </r>
      </text>
    </comment>
    <comment ref="D8" authorId="0">
      <text>
        <r>
          <rPr>
            <b/>
            <sz val="8"/>
            <color indexed="81"/>
            <rFont val="Tahoma"/>
            <family val="2"/>
            <charset val="186"/>
          </rPr>
          <t>6 üksikut (sh naine) x 2 punkti = 12 punkti
3 duot (sh segaduo) x 3 punkti =   9 punkti
2 triot (sh segatrio)  x 5 punkti = 10 punkti</t>
        </r>
      </text>
    </comment>
    <comment ref="F8" authorId="0">
      <text>
        <r>
          <rPr>
            <b/>
            <sz val="8"/>
            <color indexed="81"/>
            <rFont val="Tahoma"/>
            <family val="2"/>
            <charset val="186"/>
          </rPr>
          <t>Voka, Metsa 2
Voka staadion</t>
        </r>
      </text>
    </comment>
    <comment ref="F9" authorId="0">
      <text>
        <r>
          <rPr>
            <b/>
            <sz val="8"/>
            <color indexed="81"/>
            <rFont val="Tahoma"/>
            <family val="2"/>
            <charset val="186"/>
          </rPr>
          <t>Voka, Metsa 2
Voka staadion</t>
        </r>
      </text>
    </comment>
    <comment ref="F10" authorId="0">
      <text>
        <r>
          <rPr>
            <b/>
            <sz val="8"/>
            <color indexed="81"/>
            <rFont val="Tahoma"/>
            <family val="2"/>
            <charset val="186"/>
          </rPr>
          <t>Mäetaguse mõisa vastas üle maantee</t>
        </r>
      </text>
    </comment>
    <comment ref="F11" authorId="0">
      <text>
        <r>
          <rPr>
            <b/>
            <sz val="8"/>
            <color indexed="81"/>
            <rFont val="Tahoma"/>
            <family val="2"/>
            <charset val="186"/>
          </rPr>
          <t>Kohtla-Järve, Järveküla tee 44
Spordihoone taga</t>
        </r>
      </text>
    </comment>
    <comment ref="F12" authorId="0">
      <text>
        <r>
          <rPr>
            <b/>
            <sz val="8"/>
            <color indexed="81"/>
            <rFont val="Tahoma"/>
            <family val="2"/>
            <charset val="186"/>
          </rPr>
          <t>Voka, Metsa 2
Voka staadion</t>
        </r>
      </text>
    </comment>
    <comment ref="F13" authorId="0">
      <text>
        <r>
          <rPr>
            <b/>
            <sz val="8"/>
            <color indexed="81"/>
            <rFont val="Tahoma"/>
            <family val="2"/>
            <charset val="186"/>
          </rPr>
          <t>Kohtla-Järve, Järveküla tee 44
Spordihoone taga</t>
        </r>
      </text>
    </comment>
    <comment ref="F15" authorId="0">
      <text>
        <r>
          <rPr>
            <b/>
            <sz val="8"/>
            <color indexed="81"/>
            <rFont val="Tahoma"/>
            <family val="2"/>
            <charset val="186"/>
          </rPr>
          <t>Voka, Metsa 2
Voka staadion</t>
        </r>
      </text>
    </comment>
    <comment ref="F16" authorId="0">
      <text>
        <r>
          <rPr>
            <b/>
            <sz val="8"/>
            <color indexed="81"/>
            <rFont val="Tahoma"/>
            <family val="2"/>
            <charset val="186"/>
          </rPr>
          <t>Voka, Metsa 2
Voka staadion</t>
        </r>
      </text>
    </comment>
    <comment ref="H16" authorId="0">
      <text>
        <r>
          <rPr>
            <b/>
            <sz val="8"/>
            <color indexed="81"/>
            <rFont val="Tahoma"/>
            <family val="2"/>
            <charset val="186"/>
          </rPr>
          <t>25 € võistkond</t>
        </r>
      </text>
    </comment>
    <comment ref="F17" authorId="0">
      <text>
        <r>
          <rPr>
            <b/>
            <sz val="8"/>
            <color indexed="81"/>
            <rFont val="Tahoma"/>
            <family val="2"/>
            <charset val="186"/>
          </rPr>
          <t>Voka, Metsa 2
Voka staadion</t>
        </r>
      </text>
    </comment>
    <comment ref="F18" authorId="0">
      <text>
        <r>
          <rPr>
            <b/>
            <sz val="8"/>
            <color indexed="81"/>
            <rFont val="Tahoma"/>
            <family val="2"/>
            <charset val="186"/>
          </rPr>
          <t>Voka, Metsa 2
Voka staadion</t>
        </r>
      </text>
    </comment>
    <comment ref="F19" authorId="0">
      <text>
        <r>
          <rPr>
            <b/>
            <sz val="8"/>
            <color indexed="81"/>
            <rFont val="Tahoma"/>
            <family val="2"/>
            <charset val="186"/>
          </rPr>
          <t>Voka, Metsa 2
Voka staadion</t>
        </r>
      </text>
    </comment>
    <comment ref="F20" authorId="0">
      <text>
        <r>
          <rPr>
            <b/>
            <sz val="8"/>
            <color indexed="81"/>
            <rFont val="Tahoma"/>
            <family val="2"/>
            <charset val="186"/>
          </rPr>
          <t>Voka, Metsa 2
Voka staadion</t>
        </r>
      </text>
    </comment>
    <comment ref="F21" authorId="0">
      <text>
        <r>
          <rPr>
            <b/>
            <sz val="8"/>
            <color indexed="81"/>
            <rFont val="Tahoma"/>
            <family val="2"/>
            <charset val="186"/>
          </rPr>
          <t>Mäetaguse mõisa vastas üle maantee</t>
        </r>
      </text>
    </comment>
    <comment ref="F22" authorId="0">
      <text>
        <r>
          <rPr>
            <b/>
            <sz val="8"/>
            <color indexed="81"/>
            <rFont val="Tahoma"/>
            <family val="2"/>
            <charset val="186"/>
          </rPr>
          <t>Voka, Metsa 2
Voka staadion</t>
        </r>
      </text>
    </comment>
    <comment ref="F23" authorId="0">
      <text>
        <r>
          <rPr>
            <b/>
            <sz val="8"/>
            <color indexed="81"/>
            <rFont val="Tahoma"/>
            <family val="2"/>
            <charset val="186"/>
          </rPr>
          <t>Kohtla-Järve, Järveküla tee 44
Spordihoone taga</t>
        </r>
      </text>
    </comment>
    <comment ref="F24" authorId="0">
      <text>
        <r>
          <rPr>
            <b/>
            <sz val="8"/>
            <color indexed="81"/>
            <rFont val="Tahoma"/>
            <family val="2"/>
            <charset val="186"/>
          </rPr>
          <t>Voka, Metsa 2
Voka staadion</t>
        </r>
      </text>
    </comment>
    <comment ref="F26" authorId="0">
      <text>
        <r>
          <rPr>
            <b/>
            <sz val="8"/>
            <color indexed="81"/>
            <rFont val="Tahoma"/>
            <family val="2"/>
            <charset val="186"/>
          </rPr>
          <t>Mäetaguse mõisa vastas üle maantee</t>
        </r>
      </text>
    </comment>
    <comment ref="F27" authorId="0">
      <text>
        <r>
          <rPr>
            <b/>
            <sz val="8"/>
            <color indexed="81"/>
            <rFont val="Tahoma"/>
            <family val="2"/>
            <charset val="186"/>
          </rPr>
          <t>Voka, Metsa 2
Voka staadion</t>
        </r>
      </text>
    </comment>
    <comment ref="F28" authorId="0">
      <text>
        <r>
          <rPr>
            <b/>
            <sz val="8"/>
            <color indexed="81"/>
            <rFont val="Tahoma"/>
            <family val="2"/>
            <charset val="186"/>
          </rPr>
          <t>Jõhvi, 
Narva mnt 139b</t>
        </r>
      </text>
    </comment>
    <comment ref="F29" authorId="0">
      <text>
        <r>
          <rPr>
            <b/>
            <sz val="8"/>
            <color indexed="81"/>
            <rFont val="Tahoma"/>
            <family val="2"/>
            <charset val="186"/>
          </rPr>
          <t>Jõhvi, 
Narva mnt 139b</t>
        </r>
      </text>
    </comment>
    <comment ref="F30" authorId="0">
      <text>
        <r>
          <rPr>
            <b/>
            <sz val="8"/>
            <color indexed="81"/>
            <rFont val="Tahoma"/>
            <family val="2"/>
            <charset val="186"/>
          </rPr>
          <t>Voka, Metsa 2
Voka staadion</t>
        </r>
      </text>
    </comment>
    <comment ref="F31" authorId="0">
      <text>
        <r>
          <rPr>
            <b/>
            <sz val="8"/>
            <color indexed="81"/>
            <rFont val="Tahoma"/>
            <family val="2"/>
            <charset val="186"/>
          </rPr>
          <t>Jõhvi, 
Narva mnt 139b</t>
        </r>
      </text>
    </comment>
    <comment ref="F33" authorId="0">
      <text>
        <r>
          <rPr>
            <b/>
            <sz val="8"/>
            <color indexed="81"/>
            <rFont val="Tahoma"/>
            <family val="2"/>
            <charset val="186"/>
          </rPr>
          <t>Voka, Metsa 2
Voka staadion</t>
        </r>
      </text>
    </comment>
    <comment ref="F34" authorId="0">
      <text>
        <r>
          <rPr>
            <b/>
            <sz val="8"/>
            <color indexed="81"/>
            <rFont val="Tahoma"/>
            <family val="2"/>
            <charset val="186"/>
          </rPr>
          <t>Kohtla-Järve, Järveküla tee 44
Spordihoone taga</t>
        </r>
      </text>
    </comment>
    <comment ref="F35" authorId="0">
      <text>
        <r>
          <rPr>
            <b/>
            <sz val="8"/>
            <color indexed="81"/>
            <rFont val="Tahoma"/>
            <family val="2"/>
            <charset val="186"/>
          </rPr>
          <t>Jõhvi, 
Narva mnt 139b</t>
        </r>
      </text>
    </comment>
    <comment ref="H35" authorId="0">
      <text>
        <r>
          <rPr>
            <b/>
            <sz val="8"/>
            <color indexed="81"/>
            <rFont val="Tahoma"/>
            <family val="2"/>
            <charset val="186"/>
          </rPr>
          <t>Juunioridel 2 €
Eesti meistrivõistlustel osalemiseks peavad olema: 
 - petankeri litsents, 
 - võistluskuulid, 
 - meeskonnal ühtne võistlussärk.</t>
        </r>
      </text>
    </comment>
    <comment ref="F36" authorId="0">
      <text>
        <r>
          <rPr>
            <b/>
            <sz val="8"/>
            <color indexed="81"/>
            <rFont val="Tahoma"/>
            <family val="2"/>
            <charset val="186"/>
          </rPr>
          <t>Kohtla-Järve, Järveküla tee 44
Spordihoone taga</t>
        </r>
      </text>
    </comment>
    <comment ref="H36" authorId="0">
      <text>
        <r>
          <rPr>
            <b/>
            <sz val="8"/>
            <color indexed="81"/>
            <rFont val="Tahoma"/>
            <family val="2"/>
            <charset val="186"/>
          </rPr>
          <t>Juunioridel 2 €</t>
        </r>
      </text>
    </comment>
    <comment ref="F37" authorId="0">
      <text>
        <r>
          <rPr>
            <b/>
            <sz val="8"/>
            <color indexed="81"/>
            <rFont val="Tahoma"/>
            <family val="2"/>
            <charset val="186"/>
          </rPr>
          <t>Voka, Metsa 2
Voka staadion</t>
        </r>
      </text>
    </comment>
    <comment ref="F38" authorId="0">
      <text>
        <r>
          <rPr>
            <b/>
            <sz val="8"/>
            <color indexed="81"/>
            <rFont val="Tahoma"/>
            <family val="2"/>
            <charset val="186"/>
          </rPr>
          <t>Voka, Metsa 2
Voka staadion</t>
        </r>
      </text>
    </comment>
    <comment ref="F39" authorId="0">
      <text>
        <r>
          <rPr>
            <b/>
            <sz val="8"/>
            <color indexed="81"/>
            <rFont val="Tahoma"/>
            <family val="2"/>
            <charset val="186"/>
          </rPr>
          <t>Kohtla-Järve, Järveküla tee 44
Spordihoone taga</t>
        </r>
      </text>
    </comment>
    <comment ref="F41" authorId="0">
      <text>
        <r>
          <rPr>
            <b/>
            <sz val="8"/>
            <color indexed="81"/>
            <rFont val="Tahoma"/>
            <family val="2"/>
            <charset val="186"/>
          </rPr>
          <t>Voka, Metsa 2
Voka staadion</t>
        </r>
      </text>
    </comment>
    <comment ref="F42" authorId="0">
      <text>
        <r>
          <rPr>
            <b/>
            <sz val="8"/>
            <color indexed="81"/>
            <rFont val="Tahoma"/>
            <family val="2"/>
            <charset val="186"/>
          </rPr>
          <t>Voka, Metsa 2
Voka staadion</t>
        </r>
      </text>
    </comment>
    <comment ref="F43" authorId="0">
      <text>
        <r>
          <rPr>
            <b/>
            <sz val="8"/>
            <color indexed="81"/>
            <rFont val="Tahoma"/>
            <family val="2"/>
            <charset val="186"/>
          </rPr>
          <t>Kohtla-Järve, Järveküla tee 44
Spordihoone taga</t>
        </r>
      </text>
    </comment>
    <comment ref="F44" authorId="0">
      <text>
        <r>
          <rPr>
            <b/>
            <sz val="8"/>
            <color indexed="81"/>
            <rFont val="Tahoma"/>
            <family val="2"/>
            <charset val="186"/>
          </rPr>
          <t>Mäetaguse, Pargi 2
Mäetaguse Põhikooli staadion</t>
        </r>
      </text>
    </comment>
    <comment ref="F45" authorId="0">
      <text>
        <r>
          <rPr>
            <b/>
            <sz val="8"/>
            <color indexed="81"/>
            <rFont val="Tahoma"/>
            <family val="2"/>
            <charset val="186"/>
          </rPr>
          <t>Voka, Metsa 2
Voka staadion</t>
        </r>
      </text>
    </comment>
    <comment ref="F46" authorId="0">
      <text>
        <r>
          <rPr>
            <b/>
            <sz val="8"/>
            <color indexed="81"/>
            <rFont val="Tahoma"/>
            <family val="2"/>
            <charset val="186"/>
          </rPr>
          <t>Voka, Metsa 2
Voka staadion</t>
        </r>
      </text>
    </comment>
    <comment ref="F47" authorId="0">
      <text>
        <r>
          <rPr>
            <b/>
            <sz val="8"/>
            <color indexed="81"/>
            <rFont val="Tahoma"/>
            <family val="2"/>
            <charset val="186"/>
          </rPr>
          <t>Voka, Metsa 2
Voka staadion</t>
        </r>
      </text>
    </comment>
    <comment ref="F48" authorId="0">
      <text>
        <r>
          <rPr>
            <b/>
            <sz val="8"/>
            <color indexed="81"/>
            <rFont val="Tahoma"/>
            <family val="2"/>
            <charset val="186"/>
          </rPr>
          <t>Mäetaguse, Pargi 2
Mäetaguse Põhikooli staadion</t>
        </r>
      </text>
    </comment>
    <comment ref="F49" authorId="0">
      <text>
        <r>
          <rPr>
            <b/>
            <sz val="8"/>
            <color indexed="81"/>
            <rFont val="Tahoma"/>
            <family val="2"/>
            <charset val="186"/>
          </rPr>
          <t>Voka, Metsa 2
Voka staadion</t>
        </r>
      </text>
    </comment>
    <comment ref="F50" authorId="0">
      <text>
        <r>
          <rPr>
            <b/>
            <sz val="8"/>
            <color indexed="81"/>
            <rFont val="Tahoma"/>
            <family val="2"/>
            <charset val="186"/>
          </rPr>
          <t>Kohtla-Järve, Järveküla tee 44
Spordihoone taga</t>
        </r>
      </text>
    </comment>
    <comment ref="F52" authorId="0">
      <text>
        <r>
          <rPr>
            <b/>
            <sz val="8"/>
            <color indexed="81"/>
            <rFont val="Tahoma"/>
            <family val="2"/>
            <charset val="186"/>
          </rPr>
          <t>Kohtla-Järve, Järveküla tee 44
Spordihoone taga</t>
        </r>
      </text>
    </comment>
  </commentList>
</comments>
</file>

<file path=xl/comments2.xml><?xml version="1.0" encoding="utf-8"?>
<comments xmlns="http://schemas.openxmlformats.org/spreadsheetml/2006/main">
  <authors>
    <author>Author</author>
  </authors>
  <commentList>
    <comment ref="M4" authorId="0">
      <text>
        <r>
          <rPr>
            <b/>
            <sz val="8"/>
            <color indexed="81"/>
            <rFont val="Tahoma"/>
            <family val="2"/>
            <charset val="186"/>
          </rPr>
          <t>Kahjuks läks niigi nigela korraldusega võistluse lõpetamine päris käest ära …</t>
        </r>
      </text>
    </comment>
    <comment ref="K5" authorId="0">
      <text>
        <r>
          <rPr>
            <b/>
            <sz val="8"/>
            <color indexed="81"/>
            <rFont val="Tahoma"/>
            <family val="2"/>
            <charset val="186"/>
          </rPr>
          <t>5-liikmelised võistkonnad, kelle koosseisus on vähemalt 2 naist</t>
        </r>
      </text>
    </comment>
    <comment ref="K6" authorId="0">
      <text>
        <r>
          <rPr>
            <b/>
            <sz val="8"/>
            <color indexed="81"/>
            <rFont val="Tahoma"/>
            <family val="2"/>
            <charset val="186"/>
          </rPr>
          <t>Tartu, Lossi 25 
Toomkiriku varemed</t>
        </r>
      </text>
    </comment>
    <comment ref="M6" authorId="0">
      <text>
        <r>
          <rPr>
            <b/>
            <sz val="8"/>
            <color indexed="81"/>
            <rFont val="Tahoma"/>
            <family val="2"/>
            <charset val="186"/>
          </rPr>
          <t>Kohtla-Järve, Järveküla tee 44
Spordihoone taga</t>
        </r>
      </text>
    </comment>
    <comment ref="D7" authorId="0">
      <text>
        <r>
          <rPr>
            <b/>
            <sz val="8"/>
            <color indexed="81"/>
            <rFont val="Tahoma"/>
            <family val="2"/>
            <charset val="186"/>
          </rPr>
          <t>Kevadpüha</t>
        </r>
      </text>
    </comment>
    <comment ref="K7" authorId="0">
      <text>
        <r>
          <rPr>
            <b/>
            <sz val="8"/>
            <color indexed="81"/>
            <rFont val="Tahoma"/>
            <family val="2"/>
            <charset val="186"/>
          </rPr>
          <t>Klubide karikal osalemiseks peavad olema: 
 - petankeri litsents, 
 - võistluskuulid, 
 - meeskonnal ühtne võistlussärk.</t>
        </r>
      </text>
    </comment>
    <comment ref="K8" authorId="0">
      <text>
        <r>
          <rPr>
            <b/>
            <sz val="8"/>
            <color indexed="81"/>
            <rFont val="Tahoma"/>
            <family val="2"/>
            <charset val="186"/>
          </rPr>
          <t>6 üksikut (sh naine) x 2 punkti = 12 punkti
3 duot (sh segaduo) x 3 punkti =   9 punkti
2 triot (sh segatrio)  x 5 punkti = 10 punkti</t>
        </r>
      </text>
    </comment>
    <comment ref="G9" authorId="0">
      <text>
        <r>
          <rPr>
            <b/>
            <sz val="8"/>
            <color indexed="81"/>
            <rFont val="Tahoma"/>
            <family val="2"/>
            <charset val="186"/>
          </rPr>
          <t>Kohtla-Järve, Järveküla tee 44
Spordihoone taga</t>
        </r>
      </text>
    </comment>
    <comment ref="C10" authorId="0">
      <text>
        <r>
          <rPr>
            <b/>
            <sz val="8"/>
            <color indexed="81"/>
            <rFont val="Tahoma"/>
            <family val="2"/>
            <charset val="186"/>
          </rPr>
          <t>Voka, Narva mnt 2
Voka petangihall</t>
        </r>
      </text>
    </comment>
    <comment ref="K10" authorId="0">
      <text>
        <r>
          <rPr>
            <b/>
            <sz val="8"/>
            <color indexed="81"/>
            <rFont val="Tahoma"/>
            <family val="2"/>
            <charset val="186"/>
          </rPr>
          <t>Voka, Metsa 2
Voka staadion</t>
        </r>
      </text>
    </comment>
    <comment ref="M10" authorId="0">
      <text>
        <r>
          <rPr>
            <b/>
            <sz val="8"/>
            <color indexed="81"/>
            <rFont val="Tahoma"/>
            <family val="2"/>
            <charset val="186"/>
          </rPr>
          <t>Voka, Metsa 2
Voka staadion</t>
        </r>
      </text>
    </comment>
    <comment ref="C12" authorId="0">
      <text>
        <r>
          <rPr>
            <b/>
            <sz val="8"/>
            <color indexed="81"/>
            <rFont val="Tahoma"/>
            <family val="2"/>
            <charset val="186"/>
          </rPr>
          <t>Tallinn, Algi 38
Tallinna petangihall</t>
        </r>
      </text>
    </comment>
    <comment ref="G13" authorId="0">
      <text>
        <r>
          <rPr>
            <b/>
            <sz val="8"/>
            <color indexed="81"/>
            <rFont val="Tahoma"/>
            <family val="2"/>
            <charset val="186"/>
          </rPr>
          <t>Registrerimine 9.00-9.30 kohapeal. 
Võistluse algus 10.00
Osalustasu 30 € võistkond. 
Auhindadeks karikad, medalid ja kinkekaardid. 
Võistlus algab kuueste alagruppidega. 
1. ja 2. pääsevad A-finaali
3. ja 4. pääsevad B-finaali
5. ja 6. pääsevad C-finaali
Helatorstai</t>
        </r>
      </text>
    </comment>
    <comment ref="K14" authorId="0">
      <text>
        <r>
          <rPr>
            <b/>
            <sz val="8"/>
            <color indexed="81"/>
            <rFont val="Tahoma"/>
            <family val="2"/>
            <charset val="186"/>
          </rPr>
          <t>Meeste MM, TRIO, TUL - Kanada
Meeste EM, ÜKSIK - Itaalia
Naiste EM, TRIO, TUL - Prantsusmaa
Naiste EM, ÜKSIK - Itaalia
Juunioride EM, TRIO, TUL - Hispaania
U23 (mehed, naised) EM, TRIO - Hispaania</t>
        </r>
      </text>
    </comment>
    <comment ref="M14" authorId="0">
      <text>
        <r>
          <rPr>
            <b/>
            <sz val="8"/>
            <color indexed="81"/>
            <rFont val="Tahoma"/>
            <family val="2"/>
            <charset val="186"/>
          </rPr>
          <t>Meeste MM, TRIO, TUL - Kanada
Meeste EM, ÜKSIK - Itaalia
Naiste EM, TRIO, TUL - Prantsusmaa
Naiste EM, ÜKSIK - Itaalia
Juunioride EM, TRIO, TUL - Hispaania
U23 (mehed, naised) EM, TRIO - Hispaania</t>
        </r>
      </text>
    </comment>
    <comment ref="E15" authorId="0">
      <text>
        <r>
          <rPr>
            <b/>
            <sz val="8"/>
            <color indexed="81"/>
            <rFont val="Tahoma"/>
            <family val="2"/>
            <charset val="186"/>
          </rPr>
          <t>Voka, Metsa 2
Voka staadion</t>
        </r>
      </text>
    </comment>
    <comment ref="G15" authorId="0">
      <text>
        <r>
          <rPr>
            <b/>
            <sz val="8"/>
            <color indexed="81"/>
            <rFont val="Tahoma"/>
            <family val="2"/>
            <charset val="186"/>
          </rPr>
          <t>Helsingi, Pohjoinen Hesperiankatu 24</t>
        </r>
      </text>
    </comment>
    <comment ref="H15" authorId="0">
      <text>
        <r>
          <rPr>
            <b/>
            <sz val="8"/>
            <color indexed="81"/>
            <rFont val="Tahoma"/>
            <family val="2"/>
            <charset val="186"/>
          </rPr>
          <t>Maaret Komsi (räägib eesti keeles)
+358 50 541 9151</t>
        </r>
      </text>
    </comment>
    <comment ref="K15" authorId="0">
      <text>
        <r>
          <rPr>
            <b/>
            <sz val="8"/>
            <color indexed="81"/>
            <rFont val="Tahoma"/>
            <family val="2"/>
            <charset val="186"/>
          </rPr>
          <t>Saku, Teaduse 2
Teaduse 2 maja taga asuv hokiväljak, kruusakate
12 väljakut</t>
        </r>
      </text>
    </comment>
    <comment ref="N16" authorId="0">
      <text>
        <r>
          <rPr>
            <b/>
            <sz val="8"/>
            <color indexed="81"/>
            <rFont val="Tahoma"/>
            <family val="2"/>
            <charset val="186"/>
          </rPr>
          <t>Nelipühade 1. püha</t>
        </r>
      </text>
    </comment>
    <comment ref="C18" authorId="0">
      <text>
        <r>
          <rPr>
            <b/>
            <sz val="8"/>
            <color indexed="81"/>
            <rFont val="Tahoma"/>
            <family val="2"/>
            <charset val="186"/>
          </rPr>
          <t>Kunda, Jaama 12
Kunda Mobil plats</t>
        </r>
      </text>
    </comment>
    <comment ref="G18" authorId="0">
      <text>
        <r>
          <rPr>
            <b/>
            <sz val="8"/>
            <color indexed="81"/>
            <rFont val="Tahoma"/>
            <family val="2"/>
            <charset val="186"/>
          </rPr>
          <t>Kohtla-Järve, Järveküla tee 44
Spordihoone taga</t>
        </r>
      </text>
    </comment>
    <comment ref="E21" authorId="0">
      <text>
        <r>
          <rPr>
            <b/>
            <sz val="8"/>
            <color indexed="81"/>
            <rFont val="Tahoma"/>
            <family val="2"/>
            <charset val="186"/>
          </rPr>
          <t>Voka, Metsa 2
Voka staadion</t>
        </r>
      </text>
    </comment>
    <comment ref="K21" authorId="0">
      <text>
        <r>
          <rPr>
            <b/>
            <sz val="8"/>
            <color indexed="81"/>
            <rFont val="Tahoma"/>
            <family val="2"/>
            <charset val="186"/>
          </rPr>
          <t>Saku, Tallinna mnt 2a</t>
        </r>
      </text>
    </comment>
    <comment ref="M21" authorId="0">
      <text>
        <r>
          <rPr>
            <b/>
            <sz val="8"/>
            <color indexed="81"/>
            <rFont val="Tahoma"/>
            <family val="2"/>
            <charset val="186"/>
          </rPr>
          <t>Saku, Tallinna mnt 2a</t>
        </r>
      </text>
    </comment>
    <comment ref="C24" authorId="0">
      <text>
        <r>
          <rPr>
            <b/>
            <sz val="8"/>
            <color indexed="81"/>
            <rFont val="Tahoma"/>
            <family val="2"/>
            <charset val="186"/>
          </rPr>
          <t>Kunda, Kasemäe 19
Kunda staadion</t>
        </r>
      </text>
    </comment>
    <comment ref="G24" authorId="0">
      <text>
        <r>
          <rPr>
            <b/>
            <sz val="8"/>
            <color indexed="81"/>
            <rFont val="Tahoma"/>
            <family val="2"/>
            <charset val="186"/>
          </rPr>
          <t>Kohtla-Järve, Järveküla tee 44
Spordihoone taga</t>
        </r>
      </text>
    </comment>
    <comment ref="K26" authorId="0">
      <text>
        <r>
          <rPr>
            <b/>
            <sz val="8"/>
            <color indexed="81"/>
            <rFont val="Tahoma"/>
            <family val="2"/>
            <charset val="186"/>
          </rPr>
          <t>Voka, Metsa 2
Voka staadion</t>
        </r>
      </text>
    </comment>
    <comment ref="M26" authorId="0">
      <text>
        <r>
          <rPr>
            <b/>
            <sz val="8"/>
            <color indexed="81"/>
            <rFont val="Tahoma"/>
            <family val="2"/>
            <charset val="186"/>
          </rPr>
          <t>Voka, Metsa 2
Voka staadion</t>
        </r>
      </text>
    </comment>
    <comment ref="K27" authorId="0">
      <text>
        <r>
          <rPr>
            <b/>
            <sz val="8"/>
            <color indexed="81"/>
            <rFont val="Tahoma"/>
            <family val="2"/>
            <charset val="186"/>
          </rPr>
          <t>Eesti meistrivõistlustel osalemiseks peavad olema: 
 - petankeri litsents, 
 - võistluskuulid, 
 - võistkonnal ühtne võistlussärk.</t>
        </r>
      </text>
    </comment>
    <comment ref="E29" authorId="0">
      <text>
        <r>
          <rPr>
            <b/>
            <sz val="8"/>
            <color indexed="81"/>
            <rFont val="Tahoma"/>
            <family val="2"/>
            <charset val="186"/>
          </rPr>
          <t>Voka, Metsa 2
Voka staadion</t>
        </r>
      </text>
    </comment>
    <comment ref="K29" authorId="0">
      <text>
        <r>
          <rPr>
            <b/>
            <sz val="8"/>
            <color indexed="81"/>
            <rFont val="Tahoma"/>
            <family val="2"/>
            <charset val="186"/>
          </rPr>
          <t>Uuskalda, Kärbla küla, Lääne-Nigula vald, Läänemaa</t>
        </r>
      </text>
    </comment>
    <comment ref="M29" authorId="0">
      <text>
        <r>
          <rPr>
            <b/>
            <sz val="8"/>
            <color indexed="81"/>
            <rFont val="Tahoma"/>
            <family val="2"/>
            <charset val="186"/>
          </rPr>
          <t>Uuskalda, Kärbla küla, Lääne-Nigula vald, Läänemaa</t>
        </r>
      </text>
    </comment>
    <comment ref="G32" authorId="0">
      <text>
        <r>
          <rPr>
            <b/>
            <sz val="8"/>
            <color indexed="81"/>
            <rFont val="Tahoma"/>
            <family val="2"/>
            <charset val="186"/>
          </rPr>
          <t>Voka, Metsa 2
Voka staadion</t>
        </r>
      </text>
    </comment>
    <comment ref="K32" authorId="0">
      <text>
        <r>
          <rPr>
            <b/>
            <sz val="8"/>
            <color indexed="81"/>
            <rFont val="Tahoma"/>
            <family val="2"/>
            <charset val="186"/>
          </rPr>
          <t>Voka, Metsa 2
Voka staadion</t>
        </r>
      </text>
    </comment>
    <comment ref="M32" authorId="0">
      <text>
        <r>
          <rPr>
            <b/>
            <sz val="8"/>
            <color indexed="81"/>
            <rFont val="Tahoma"/>
            <family val="2"/>
            <charset val="186"/>
          </rPr>
          <t>Voka, Metsa 2
Voka staadion</t>
        </r>
      </text>
    </comment>
    <comment ref="K33" authorId="0">
      <text>
        <r>
          <rPr>
            <b/>
            <sz val="8"/>
            <color indexed="81"/>
            <rFont val="Tahoma"/>
            <family val="2"/>
            <charset val="186"/>
          </rPr>
          <t>Meeste MM, TRIO, TUL
Meeste EM, ÜKSIK
Naiste EM, TRIO, TUL
Naiste EM, ÜKSIK
Juunioride EM, TRIO, TUL
U23 (mehed, naised) EM, TRIO</t>
        </r>
      </text>
    </comment>
    <comment ref="M33" authorId="0">
      <text>
        <r>
          <rPr>
            <b/>
            <sz val="8"/>
            <color indexed="81"/>
            <rFont val="Tahoma"/>
            <family val="2"/>
            <charset val="186"/>
          </rPr>
          <t>Meeste MM, TRIO, TUL
Meeste EM, ÜKSIK
Naiste EM, TRIO, TUL
Naiste EM, ÜKSIK
Juunioride EM, TRIO, TUL
U23 (mehed, naised) EM, TRIO</t>
        </r>
      </text>
    </comment>
    <comment ref="K34" authorId="0">
      <text>
        <r>
          <rPr>
            <b/>
            <sz val="8"/>
            <color indexed="81"/>
            <rFont val="Tahoma"/>
            <family val="2"/>
            <charset val="186"/>
          </rPr>
          <t>Rummu tee 3, Tallinn
Väljakud asuvad Pirita jõe ja velotreki vahelisel maa-alal</t>
        </r>
      </text>
    </comment>
    <comment ref="K36" authorId="0">
      <text>
        <r>
          <rPr>
            <b/>
            <sz val="8"/>
            <color indexed="81"/>
            <rFont val="Tahoma"/>
            <family val="2"/>
            <charset val="186"/>
          </rPr>
          <t>Zaķumuiža staadion, Parka tänav, Zaķumuiža</t>
        </r>
      </text>
    </comment>
    <comment ref="L37" authorId="0">
      <text>
        <r>
          <rPr>
            <b/>
            <sz val="8"/>
            <color indexed="81"/>
            <rFont val="Tahoma"/>
            <family val="2"/>
            <charset val="186"/>
          </rPr>
          <t>Võidupüha</t>
        </r>
      </text>
    </comment>
    <comment ref="N37" authorId="0">
      <text>
        <r>
          <rPr>
            <b/>
            <sz val="8"/>
            <color indexed="81"/>
            <rFont val="Tahoma"/>
            <family val="2"/>
            <charset val="186"/>
          </rPr>
          <t>Jaanipäev</t>
        </r>
      </text>
    </comment>
    <comment ref="K41" authorId="0">
      <text>
        <r>
          <rPr>
            <b/>
            <sz val="8"/>
            <color indexed="81"/>
            <rFont val="Tahoma"/>
            <family val="2"/>
            <charset val="186"/>
          </rPr>
          <t>Eesti meistrivõistlustel osalemiseks peavad olema: 
 - petankeri litsents, 
 - võistluskuulid.</t>
        </r>
      </text>
    </comment>
    <comment ref="E43" authorId="0">
      <text>
        <r>
          <rPr>
            <b/>
            <sz val="8"/>
            <color indexed="81"/>
            <rFont val="Tahoma"/>
            <family val="2"/>
            <charset val="186"/>
          </rPr>
          <t>Voka, Metsa 2
Voka staadion</t>
        </r>
      </text>
    </comment>
    <comment ref="G43" authorId="0">
      <text>
        <r>
          <rPr>
            <b/>
            <sz val="8"/>
            <color indexed="81"/>
            <rFont val="Tahoma"/>
            <family val="2"/>
            <charset val="186"/>
          </rPr>
          <t>Kohtla-Järve, Järveküla tee 44
Spordihoone taga</t>
        </r>
      </text>
    </comment>
    <comment ref="K43" authorId="0">
      <text>
        <r>
          <rPr>
            <b/>
            <sz val="8"/>
            <color indexed="81"/>
            <rFont val="Tahoma"/>
            <family val="2"/>
            <charset val="186"/>
          </rPr>
          <t>Tartu, Raadi, Muuseumi tee 2 
ERM-i viinaköök</t>
        </r>
      </text>
    </comment>
    <comment ref="M45" authorId="0">
      <text>
        <r>
          <rPr>
            <b/>
            <sz val="8"/>
            <color indexed="81"/>
            <rFont val="Tahoma"/>
            <family val="2"/>
            <charset val="186"/>
          </rPr>
          <t>Tartu, Raadi, Muuseumi tee 2 
ERM-i viinaköök</t>
        </r>
      </text>
    </comment>
    <comment ref="E49" authorId="0">
      <text>
        <r>
          <rPr>
            <b/>
            <sz val="8"/>
            <color indexed="81"/>
            <rFont val="Tahoma"/>
            <family val="2"/>
            <charset val="186"/>
          </rPr>
          <t>Voka, Metsa 2
Voka staadion</t>
        </r>
      </text>
    </comment>
    <comment ref="K50" authorId="0">
      <text>
        <r>
          <rPr>
            <b/>
            <sz val="8"/>
            <color indexed="81"/>
            <rFont val="Tahoma"/>
            <family val="2"/>
            <charset val="186"/>
          </rPr>
          <t>Uuskalda, Kärbla küla, Lääne-Nigula vald, Läänemaa</t>
        </r>
      </text>
    </comment>
    <comment ref="M50" authorId="0">
      <text>
        <r>
          <rPr>
            <b/>
            <sz val="8"/>
            <color indexed="81"/>
            <rFont val="Tahoma"/>
            <family val="2"/>
            <charset val="186"/>
          </rPr>
          <t>Uuskalda, Kärbla küla, Lääne-Nigula vald, Läänemaa</t>
        </r>
      </text>
    </comment>
    <comment ref="M51" authorId="0">
      <text>
        <r>
          <rPr>
            <b/>
            <sz val="8"/>
            <color indexed="81"/>
            <rFont val="Tahoma"/>
            <family val="2"/>
            <charset val="186"/>
          </rPr>
          <t>Eesti meistrivõistlustel osalemiseks peavad olema: 
 - petankeri litsents, 
 - võistluskuulid, 
 - võistkonnal ühtne võistlussärk.</t>
        </r>
      </text>
    </comment>
    <comment ref="G53" authorId="0">
      <text>
        <r>
          <rPr>
            <b/>
            <sz val="8"/>
            <color indexed="81"/>
            <rFont val="Tahoma"/>
            <family val="2"/>
            <charset val="186"/>
          </rPr>
          <t>Jõhvi, 
Narva mnt 139b</t>
        </r>
      </text>
    </comment>
    <comment ref="K53" authorId="0">
      <text>
        <r>
          <rPr>
            <b/>
            <sz val="8"/>
            <color indexed="81"/>
            <rFont val="Tahoma"/>
            <family val="2"/>
            <charset val="186"/>
          </rPr>
          <t>Metsa ja Jõe tänava ristist keerata Pedeli jõe poole</t>
        </r>
      </text>
    </comment>
    <comment ref="M53" authorId="0">
      <text>
        <r>
          <rPr>
            <b/>
            <sz val="8"/>
            <color indexed="81"/>
            <rFont val="Tahoma"/>
            <family val="2"/>
            <charset val="186"/>
          </rPr>
          <t>Metsa ja Jõe tänava ristist keerata Pedeli jõe poole</t>
        </r>
      </text>
    </comment>
    <comment ref="K54" authorId="0">
      <text>
        <r>
          <rPr>
            <b/>
            <sz val="8"/>
            <color indexed="81"/>
            <rFont val="Tahoma"/>
            <family val="2"/>
            <charset val="186"/>
          </rPr>
          <t>Eesti meistrivõistlustel osalemiseks peavad olema: 
 - petankeri litsents, 
 - võistluskuulid, 
 - võistkonnal ühtne võistlussärk.</t>
        </r>
      </text>
    </comment>
    <comment ref="I55" authorId="0">
      <text>
        <r>
          <rPr>
            <b/>
            <sz val="8"/>
            <color indexed="81"/>
            <rFont val="Tahoma"/>
            <family val="2"/>
            <charset val="186"/>
          </rPr>
          <t xml:space="preserve">Eelregistreerimine alade kaupa tuleb teha elektrooniliselt hiljemalt </t>
        </r>
        <r>
          <rPr>
            <b/>
            <sz val="8"/>
            <color indexed="10"/>
            <rFont val="Tahoma"/>
            <family val="2"/>
            <charset val="186"/>
          </rPr>
          <t>20. juuliks 2018.a.</t>
        </r>
        <r>
          <rPr>
            <b/>
            <sz val="8"/>
            <color indexed="81"/>
            <rFont val="Tahoma"/>
            <family val="2"/>
            <charset val="186"/>
          </rPr>
          <t xml:space="preserve"> ette antud vormil e-posti aadressile: info@saaresport.ee
Nimeline registreerimine tuleb teha etteantud vormil võistkonna esindaja poolt hiljemalt 1. augustiks 2018.a. e-posti aadressile: info@saaresport.ee
</t>
        </r>
      </text>
    </comment>
    <comment ref="G56" authorId="0">
      <text>
        <r>
          <rPr>
            <b/>
            <sz val="8"/>
            <color indexed="81"/>
            <rFont val="Tahoma"/>
            <family val="2"/>
            <charset val="186"/>
          </rPr>
          <t>Jõhvi, 
Narva mnt 139b</t>
        </r>
      </text>
    </comment>
    <comment ref="K56" authorId="0">
      <text>
        <r>
          <rPr>
            <b/>
            <sz val="8"/>
            <color indexed="81"/>
            <rFont val="Tahoma"/>
            <family val="2"/>
            <charset val="186"/>
          </rPr>
          <t xml:space="preserve">Tallinn, Rummu tee 3.
Petangiväljakud asuvad velodroomi taga jõe ääres. Autod palun parkida velodroomi parklasse ja edasi liikuda jalgsi velodroomist mööda alla jõe äärde. </t>
        </r>
      </text>
    </comment>
    <comment ref="M56" authorId="0">
      <text>
        <r>
          <rPr>
            <b/>
            <sz val="8"/>
            <color indexed="81"/>
            <rFont val="Tahoma"/>
            <family val="2"/>
            <charset val="186"/>
          </rPr>
          <t xml:space="preserve">Tallinn, Rummu tee 3.
Petangiväljakud asuvad velodroomi taga jõe ääres. Autod palun parkida velodroomi parklasse ja edasi liikuda jalgsi velodroomist mööda alla jõe äärde. </t>
        </r>
      </text>
    </comment>
    <comment ref="E61" authorId="0">
      <text>
        <r>
          <rPr>
            <b/>
            <sz val="8"/>
            <color indexed="81"/>
            <rFont val="Tahoma"/>
            <family val="2"/>
            <charset val="186"/>
          </rPr>
          <t>Voka, Metsa 2
Voka staadion</t>
        </r>
      </text>
    </comment>
    <comment ref="M61" authorId="0">
      <text>
        <r>
          <rPr>
            <b/>
            <sz val="8"/>
            <color indexed="81"/>
            <rFont val="Tahoma"/>
            <family val="2"/>
            <charset val="186"/>
          </rPr>
          <t>Jõhvi, 
Narva mnt 139b</t>
        </r>
      </text>
    </comment>
    <comment ref="K65" authorId="0">
      <text>
        <r>
          <rPr>
            <b/>
            <sz val="8"/>
            <color indexed="81"/>
            <rFont val="Tahoma"/>
            <family val="2"/>
            <charset val="186"/>
          </rPr>
          <t>Eesti meistrivõistlustel osalemiseks peavad olema: 
 - petankeri litsents, 
 - võistluskuulid.</t>
        </r>
      </text>
    </comment>
    <comment ref="E67" authorId="0">
      <text>
        <r>
          <rPr>
            <b/>
            <sz val="8"/>
            <color indexed="81"/>
            <rFont val="Tahoma"/>
            <family val="2"/>
            <charset val="186"/>
          </rPr>
          <t>Voka, Metsa 2
Voka staadion</t>
        </r>
      </text>
    </comment>
    <comment ref="G67" authorId="0">
      <text>
        <r>
          <rPr>
            <b/>
            <sz val="8"/>
            <color indexed="81"/>
            <rFont val="Tahoma"/>
            <family val="2"/>
            <charset val="186"/>
          </rPr>
          <t>Kohtla-Järve, Järveküla tee 44
Spordihoone taga</t>
        </r>
      </text>
    </comment>
    <comment ref="K67" authorId="0">
      <text>
        <r>
          <rPr>
            <b/>
            <sz val="8"/>
            <color indexed="81"/>
            <rFont val="Tahoma"/>
            <family val="2"/>
            <charset val="186"/>
          </rPr>
          <t>Jõhvi, 
Narva mnt 139b</t>
        </r>
      </text>
    </comment>
    <comment ref="M67" authorId="0">
      <text>
        <r>
          <rPr>
            <b/>
            <sz val="8"/>
            <color indexed="81"/>
            <rFont val="Tahoma"/>
            <family val="2"/>
            <charset val="186"/>
          </rPr>
          <t>Kohtla-Järve, Järveküla tee 44
Spordihoone taga</t>
        </r>
      </text>
    </comment>
    <comment ref="E68" authorId="0">
      <text>
        <r>
          <rPr>
            <b/>
            <sz val="8"/>
            <color indexed="81"/>
            <rFont val="Tahoma"/>
            <family val="2"/>
            <charset val="186"/>
          </rPr>
          <t xml:space="preserve">Eelregistreerimine alade kaupa tuleb teha elektrooniliselt hiljemalt 20. juuliks 2018.a. ette antud vormil e-posti aadressile: info@saaresport.ee
Nimeline registreerimine tuleb teha etteantud vormil võistkonna esindaja poolt hiljemalt </t>
        </r>
        <r>
          <rPr>
            <b/>
            <sz val="8"/>
            <color indexed="10"/>
            <rFont val="Tahoma"/>
            <family val="2"/>
            <charset val="186"/>
          </rPr>
          <t>1. augustiks 2018.a.</t>
        </r>
        <r>
          <rPr>
            <b/>
            <sz val="8"/>
            <color indexed="81"/>
            <rFont val="Tahoma"/>
            <family val="2"/>
            <charset val="186"/>
          </rPr>
          <t xml:space="preserve"> e-posti aadressile: info@saaresport.ee
</t>
        </r>
      </text>
    </comment>
    <comment ref="M68" authorId="0">
      <text>
        <r>
          <rPr>
            <b/>
            <sz val="8"/>
            <color indexed="81"/>
            <rFont val="Tahoma"/>
            <family val="2"/>
            <charset val="186"/>
          </rPr>
          <t>Vajadusel jätkub 51. ESVL Spordimängude (35+) petangiturniir pühapäeval</t>
        </r>
      </text>
    </comment>
    <comment ref="K69" authorId="0">
      <text>
        <r>
          <rPr>
            <b/>
            <sz val="8"/>
            <color indexed="81"/>
            <rFont val="Tahoma"/>
            <family val="2"/>
            <charset val="186"/>
          </rPr>
          <t xml:space="preserve">Segatrio, võistkonna suurus kuni 4 mängijat (3+1 varumängija); korraga väljakul 3 mängijat, nendest 1 naine. Lubatud on üks vahetus mängus.
Kasutada võib ka harrastuskuule.
Iga maakond võib välja panna kuni kaks võistkonda, kusjuures arvesse läheb parema võistkonna tulemus. Arvesse mitteminevad võistkonnad hoiavad kohad ja punktid kinni.
Võistlussüsteem selgub peale võistkondade eelregistreerimist. Alagruppides 3 või 4 võistkonda. Kasutatakse ajakontrolli 50 minutit + 2 snadivooru.
</t>
        </r>
      </text>
    </comment>
    <comment ref="K70" authorId="0">
      <text>
        <r>
          <rPr>
            <b/>
            <sz val="8"/>
            <color indexed="81"/>
            <rFont val="Tahoma"/>
            <family val="2"/>
            <charset val="186"/>
          </rPr>
          <t>Kuressaare, Lossiplats 1
Kuursaali esine väljak</t>
        </r>
      </text>
    </comment>
    <comment ref="I73" authorId="0">
      <text>
        <r>
          <rPr>
            <b/>
            <sz val="8"/>
            <color indexed="81"/>
            <rFont val="Tahoma"/>
            <family val="2"/>
            <charset val="186"/>
          </rPr>
          <t>Uuskalda, Kärbla küla, Lääne-Nigula vald, Läänemaa</t>
        </r>
      </text>
    </comment>
    <comment ref="K73" authorId="0">
      <text>
        <r>
          <rPr>
            <b/>
            <sz val="8"/>
            <color indexed="81"/>
            <rFont val="Tahoma"/>
            <family val="2"/>
            <charset val="186"/>
          </rPr>
          <t>Uuskalda, Kärbla küla, Lääne-Nigula vald, Läänemaa</t>
        </r>
      </text>
    </comment>
    <comment ref="M73" authorId="0">
      <text>
        <r>
          <rPr>
            <b/>
            <sz val="8"/>
            <color indexed="81"/>
            <rFont val="Tahoma"/>
            <family val="2"/>
            <charset val="186"/>
          </rPr>
          <t>Uuskalda, Kärbla küla, Lääne-Nigula vald, Läänemaa</t>
        </r>
      </text>
    </comment>
    <comment ref="E76" authorId="0">
      <text>
        <r>
          <rPr>
            <b/>
            <sz val="8"/>
            <color indexed="81"/>
            <rFont val="Tahoma"/>
            <family val="2"/>
            <charset val="186"/>
          </rPr>
          <t>Voka, Metsa 2
Voka staadion</t>
        </r>
      </text>
    </comment>
    <comment ref="K76" authorId="0">
      <text>
        <r>
          <rPr>
            <b/>
            <sz val="8"/>
            <color indexed="81"/>
            <rFont val="Tahoma"/>
            <family val="2"/>
            <charset val="186"/>
          </rPr>
          <t>Võru, Roosi 26a</t>
        </r>
      </text>
    </comment>
    <comment ref="M76" authorId="0">
      <text>
        <r>
          <rPr>
            <b/>
            <sz val="8"/>
            <color indexed="81"/>
            <rFont val="Tahoma"/>
            <family val="2"/>
            <charset val="186"/>
          </rPr>
          <t>Võru, Roosi 26a</t>
        </r>
      </text>
    </comment>
    <comment ref="B77" authorId="0">
      <text>
        <r>
          <rPr>
            <b/>
            <sz val="8"/>
            <color indexed="81"/>
            <rFont val="Tahoma"/>
            <family val="2"/>
            <charset val="186"/>
          </rPr>
          <t>Taasiseseisvumispäev</t>
        </r>
      </text>
    </comment>
    <comment ref="M79" authorId="0">
      <text>
        <r>
          <rPr>
            <b/>
            <sz val="8"/>
            <color indexed="81"/>
            <rFont val="Tahoma"/>
            <family val="2"/>
            <charset val="186"/>
          </rPr>
          <t>Kohtla-Järve, Järveküla tee 44
Spordihoone taga</t>
        </r>
      </text>
    </comment>
    <comment ref="A80" authorId="0">
      <text>
        <r>
          <rPr>
            <b/>
            <sz val="8"/>
            <color indexed="81"/>
            <rFont val="Tahoma"/>
            <family val="2"/>
            <charset val="186"/>
          </rPr>
          <t>Voka, Metsa 2
Voka staadion</t>
        </r>
      </text>
    </comment>
    <comment ref="K85" authorId="0">
      <text>
        <r>
          <rPr>
            <b/>
            <sz val="8"/>
            <color indexed="81"/>
            <rFont val="Tahoma"/>
            <family val="2"/>
            <charset val="186"/>
          </rPr>
          <t>Pasila petangihall
Veturitallinkuja 34, 00520 Helsinki, Soome</t>
        </r>
      </text>
    </comment>
    <comment ref="M85" authorId="0">
      <text>
        <r>
          <rPr>
            <b/>
            <sz val="8"/>
            <color indexed="81"/>
            <rFont val="Tahoma"/>
            <family val="2"/>
            <charset val="186"/>
          </rPr>
          <t>Voka, Metsa 2
Voka staadion</t>
        </r>
      </text>
    </comment>
    <comment ref="K86" authorId="0">
      <text>
        <r>
          <rPr>
            <b/>
            <sz val="8"/>
            <color indexed="81"/>
            <rFont val="Tahoma"/>
            <family val="2"/>
            <charset val="186"/>
          </rPr>
          <t>Eesti meistrivõistlustel osalemiseks peavad olema: 
 - petankeri litsents, 
 - võistluskuulid, 
 - võistkonnal ühtne võistlussärk.</t>
        </r>
      </text>
    </comment>
    <comment ref="K88" authorId="0">
      <text>
        <r>
          <rPr>
            <b/>
            <sz val="8"/>
            <color indexed="81"/>
            <rFont val="Tahoma"/>
            <family val="2"/>
            <charset val="186"/>
          </rPr>
          <t>Saku, Teaduse 2
Teaduse 2 maja taga asuv hokiväljak, kruusakate
12 väljakut</t>
        </r>
      </text>
    </comment>
    <comment ref="M88" authorId="0">
      <text>
        <r>
          <rPr>
            <b/>
            <sz val="8"/>
            <color indexed="81"/>
            <rFont val="Tahoma"/>
            <family val="2"/>
            <charset val="186"/>
          </rPr>
          <t>Saku, Teaduse 2
Teaduse 2 maja taga asuv hokiväljak, kruusakate
12 väljakut</t>
        </r>
      </text>
    </comment>
    <comment ref="K91" authorId="0">
      <text>
        <r>
          <rPr>
            <b/>
            <sz val="8"/>
            <color indexed="81"/>
            <rFont val="Tahoma"/>
            <family val="2"/>
            <charset val="186"/>
          </rPr>
          <t>Voka, Metsa 2
Voka staadion</t>
        </r>
      </text>
    </comment>
    <comment ref="M91" authorId="0">
      <text>
        <r>
          <rPr>
            <b/>
            <sz val="8"/>
            <color indexed="81"/>
            <rFont val="Tahoma"/>
            <family val="2"/>
            <charset val="186"/>
          </rPr>
          <t>Kohtla-Järve, Järveküla tee 44
Spordihoone taga</t>
        </r>
      </text>
    </comment>
    <comment ref="M93" authorId="0">
      <text>
        <r>
          <rPr>
            <b/>
            <sz val="8"/>
            <color indexed="81"/>
            <rFont val="Tahoma"/>
            <family val="2"/>
            <charset val="186"/>
          </rPr>
          <t>Tartu, Raadi, Muuseumi tee 2 
ERM-i viinaköök</t>
        </r>
      </text>
    </comment>
    <comment ref="L94" authorId="0">
      <text>
        <r>
          <rPr>
            <b/>
            <sz val="8"/>
            <color indexed="81"/>
            <rFont val="Tahoma"/>
            <family val="2"/>
            <charset val="186"/>
          </rPr>
          <t>Eestit esindavad: 
Andero Kelu, 
Kaarel Mikk, 
Kaido Kopel, 
Thibaut Sergeï Mathon (ka tulistamine)</t>
        </r>
      </text>
    </comment>
    <comment ref="M96" authorId="0">
      <text>
        <r>
          <rPr>
            <b/>
            <sz val="8"/>
            <color indexed="81"/>
            <rFont val="Tahoma"/>
            <family val="2"/>
            <charset val="186"/>
          </rPr>
          <t>Finaalis mängivad need, kes on osalenud vähemalt kolmel etapil.</t>
        </r>
      </text>
    </comment>
    <comment ref="N98" authorId="0">
      <text>
        <r>
          <rPr>
            <b/>
            <sz val="8"/>
            <color indexed="81"/>
            <rFont val="Tahoma"/>
            <family val="2"/>
            <charset val="186"/>
          </rPr>
          <t>Kõigile soovijatele</t>
        </r>
      </text>
    </comment>
    <comment ref="K99" authorId="0">
      <text>
        <r>
          <rPr>
            <b/>
            <sz val="8"/>
            <color indexed="81"/>
            <rFont val="Tahoma"/>
            <family val="2"/>
            <charset val="186"/>
          </rPr>
          <t>Saku, Teaduse 2
Teaduse 2 maja taga asuv hokiväljak, kruusakate
12 väljakut</t>
        </r>
      </text>
    </comment>
    <comment ref="M100" authorId="0">
      <text>
        <r>
          <rPr>
            <b/>
            <sz val="8"/>
            <color indexed="81"/>
            <rFont val="Tahoma"/>
            <family val="2"/>
            <charset val="186"/>
          </rPr>
          <t>Voka, Metsa 2
Voka staadion</t>
        </r>
      </text>
    </comment>
    <comment ref="K103" authorId="0">
      <text>
        <r>
          <rPr>
            <b/>
            <sz val="8"/>
            <color indexed="81"/>
            <rFont val="Tahoma"/>
            <family val="2"/>
            <charset val="186"/>
          </rPr>
          <t>Voka, Metsa 2
Voka staadion</t>
        </r>
      </text>
    </comment>
    <comment ref="M103" authorId="0">
      <text>
        <r>
          <rPr>
            <b/>
            <sz val="8"/>
            <color indexed="81"/>
            <rFont val="Tahoma"/>
            <family val="2"/>
            <charset val="186"/>
          </rPr>
          <t>Kohtla-Järve, Järveküla tee 44
Spordihoone taga</t>
        </r>
      </text>
    </comment>
    <comment ref="L104" authorId="0">
      <text>
        <r>
          <rPr>
            <b/>
            <sz val="8"/>
            <color indexed="81"/>
            <rFont val="Tahoma"/>
            <family val="2"/>
            <charset val="186"/>
          </rPr>
          <t>Eestit esindavad: 
Kertu Palm, 
Maive Sein, 
Maris Rõõm (ka tulistamine), Varje Reede</t>
        </r>
      </text>
    </comment>
    <comment ref="M110" authorId="0">
      <text>
        <r>
          <rPr>
            <b/>
            <sz val="8"/>
            <color indexed="81"/>
            <rFont val="Tahoma"/>
            <family val="2"/>
            <charset val="186"/>
          </rPr>
          <t>Eestit esindavad: 
Merike Aava,  
Kaido Kopel</t>
        </r>
      </text>
    </comment>
    <comment ref="M114" authorId="0">
      <text>
        <r>
          <rPr>
            <b/>
            <sz val="8"/>
            <color indexed="81"/>
            <rFont val="Tahoma"/>
            <family val="2"/>
            <charset val="186"/>
          </rPr>
          <t>Kohtla-Järve, Järveküla tee 44
Spordihoone taga</t>
        </r>
      </text>
    </comment>
    <comment ref="N115" authorId="0">
      <text>
        <r>
          <rPr>
            <b/>
            <sz val="8"/>
            <color indexed="81"/>
            <rFont val="Tahoma"/>
            <family val="2"/>
            <charset val="186"/>
          </rPr>
          <t>Eestit esindavad: 
Harry Lusbo, 
Kaur Kangur, 
Kevin Kangur</t>
        </r>
      </text>
    </comment>
  </commentList>
</comments>
</file>

<file path=xl/comments3.xml><?xml version="1.0" encoding="utf-8"?>
<comments xmlns="http://schemas.openxmlformats.org/spreadsheetml/2006/main">
  <authors>
    <author>Author</author>
  </authors>
  <commentList>
    <comment ref="AA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S4" authorId="0">
      <text>
        <r>
          <rPr>
            <b/>
            <sz val="8"/>
            <color indexed="81"/>
            <rFont val="Tahoma"/>
            <family val="2"/>
            <charset val="186"/>
          </rPr>
          <t>Vokal</t>
        </r>
      </text>
    </comment>
    <comment ref="T4" authorId="0">
      <text>
        <r>
          <rPr>
            <b/>
            <sz val="8"/>
            <color indexed="81"/>
            <rFont val="Tahoma"/>
            <family val="2"/>
            <charset val="186"/>
          </rPr>
          <t>Kohtla-Järvel</t>
        </r>
      </text>
    </comment>
    <comment ref="X4" authorId="0">
      <text>
        <r>
          <rPr>
            <b/>
            <sz val="8"/>
            <color indexed="81"/>
            <rFont val="Tahoma"/>
            <family val="2"/>
            <charset val="186"/>
          </rPr>
          <t>Kohtla-Järvel</t>
        </r>
      </text>
    </comment>
    <comment ref="Y4" authorId="0">
      <text>
        <r>
          <rPr>
            <b/>
            <sz val="8"/>
            <color indexed="81"/>
            <rFont val="Tahoma"/>
            <family val="2"/>
            <charset val="186"/>
          </rPr>
          <t>Vokal</t>
        </r>
      </text>
    </comment>
    <comment ref="E7" authorId="0">
      <text>
        <r>
          <rPr>
            <b/>
            <sz val="8"/>
            <color indexed="81"/>
            <rFont val="Tahoma"/>
            <family val="2"/>
            <charset val="186"/>
          </rPr>
          <t>Valem arvutab punktisumma järgi võistleja koha. 
Võrdse punktisumma korral annab kõrgema koha võistlejale, kellel on rohkem 40-t, siis rohkem 34-a, 30-t jne.
Valem töötab Microsoft ja WPS Office-ga. 
Vahel ei tööta Libre ja Open Office-ga.</t>
        </r>
      </text>
    </comment>
    <comment ref="I7" authorId="0">
      <text>
        <r>
          <rPr>
            <b/>
            <sz val="8"/>
            <color indexed="81"/>
            <rFont val="Tahoma"/>
            <family val="2"/>
            <charset val="186"/>
          </rPr>
          <t xml:space="preserve">Valem arvutab punktisumma ja võtab kehvemad tulemused maha.
Valem töötab Microsoft ja WPS Office-ga. 
Vahel ei tööta Libre ja Open Office-ga.
</t>
        </r>
      </text>
    </comment>
    <comment ref="AF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G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H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I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F23" authorId="0">
      <text>
        <r>
          <rPr>
            <b/>
            <sz val="8"/>
            <color indexed="81"/>
            <rFont val="Tahoma"/>
            <family val="2"/>
            <charset val="186"/>
          </rPr>
          <t>Aasta uustulnukas</t>
        </r>
      </text>
    </comment>
  </commentList>
</comments>
</file>

<file path=xl/comments4.xml><?xml version="1.0" encoding="utf-8"?>
<comments xmlns="http://schemas.openxmlformats.org/spreadsheetml/2006/main">
  <authors>
    <author>Author</author>
  </authors>
  <commentList>
    <comment ref="K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K34" authorId="0">
      <text>
        <r>
          <rPr>
            <b/>
            <sz val="8"/>
            <color indexed="81"/>
            <rFont val="Tahoma"/>
            <family val="2"/>
            <charset val="186"/>
          </rPr>
          <t>Võite omavahelistes mängudes</t>
        </r>
      </text>
    </comment>
    <comment ref="L34" authorId="0">
      <text>
        <r>
          <rPr>
            <b/>
            <sz val="8"/>
            <color indexed="81"/>
            <rFont val="Tahoma"/>
            <family val="2"/>
            <charset val="186"/>
          </rPr>
          <t>Punktide vahe omavahelistes mängudes</t>
        </r>
      </text>
    </comment>
    <comment ref="M34"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5.xml><?xml version="1.0" encoding="utf-8"?>
<comments xmlns="http://schemas.openxmlformats.org/spreadsheetml/2006/main">
  <authors>
    <author>Author</author>
  </authors>
  <commentList>
    <comment ref="K140" authorId="0">
      <text>
        <r>
          <rPr>
            <b/>
            <sz val="8"/>
            <color indexed="81"/>
            <rFont val="Tahoma"/>
            <family val="2"/>
            <charset val="186"/>
          </rPr>
          <t>Võite omavahelistes mängudes</t>
        </r>
      </text>
    </comment>
    <comment ref="L140" authorId="0">
      <text>
        <r>
          <rPr>
            <b/>
            <sz val="8"/>
            <color indexed="81"/>
            <rFont val="Tahoma"/>
            <family val="2"/>
            <charset val="186"/>
          </rPr>
          <t>Punktide vahe omavahelistes mängudes</t>
        </r>
      </text>
    </comment>
    <comment ref="M140"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6.xml><?xml version="1.0" encoding="utf-8"?>
<comments xmlns="http://schemas.openxmlformats.org/spreadsheetml/2006/main">
  <authors>
    <author>Author</author>
  </authors>
  <commentList>
    <comment ref="K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M34"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7.xml><?xml version="1.0" encoding="utf-8"?>
<comments xmlns="http://schemas.openxmlformats.org/spreadsheetml/2006/main">
  <authors>
    <author>Author</author>
  </authors>
  <commentList>
    <comment ref="W11" authorId="0">
      <text>
        <r>
          <rPr>
            <b/>
            <sz val="8"/>
            <color indexed="81"/>
            <rFont val="Tahoma"/>
            <family val="2"/>
            <charset val="186"/>
          </rPr>
          <t>Isiklik rekord</t>
        </r>
      </text>
    </comment>
    <comment ref="Y24" authorId="0">
      <text>
        <r>
          <rPr>
            <b/>
            <sz val="8"/>
            <color indexed="81"/>
            <rFont val="Tahoma"/>
            <family val="2"/>
            <charset val="186"/>
          </rPr>
          <t>kahe veerandfinalisti võitja punktidele lisab 100.
paariliste esimesed saavad kohe 100, et mittte edasisaanute RANK algaks 5-st kohast, mitte 2-st</t>
        </r>
      </text>
    </comment>
    <comment ref="W42" authorId="0">
      <text>
        <r>
          <rPr>
            <b/>
            <sz val="8"/>
            <color indexed="81"/>
            <rFont val="Tahoma"/>
            <family val="2"/>
            <charset val="186"/>
          </rPr>
          <t>Isiklik rekord</t>
        </r>
      </text>
    </comment>
  </commentList>
</comments>
</file>

<file path=xl/comments8.xml><?xml version="1.0" encoding="utf-8"?>
<comments xmlns="http://schemas.openxmlformats.org/spreadsheetml/2006/main">
  <authors>
    <author>Author</author>
  </authors>
  <commentList>
    <comment ref="K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M34" authorId="0">
      <text>
        <r>
          <rPr>
            <b/>
            <sz val="8"/>
            <color indexed="81"/>
            <rFont val="Tahoma"/>
            <family val="2"/>
            <charset val="186"/>
          </rPr>
          <t>TRUE kui: 
3-ses alagrupis 3 nime ja   6 tulemust või
4-ses alagrupis 4 nime ja 12 tulemust või
5-ses alagrupis 5 nime ja 20 tulemust</t>
        </r>
      </text>
    </comment>
    <comment ref="K140" authorId="0">
      <text>
        <r>
          <rPr>
            <b/>
            <sz val="8"/>
            <color indexed="81"/>
            <rFont val="Tahoma"/>
            <family val="2"/>
            <charset val="186"/>
          </rPr>
          <t>Võite omavahelistes mängudes</t>
        </r>
      </text>
    </comment>
    <comment ref="L140" authorId="0">
      <text>
        <r>
          <rPr>
            <b/>
            <sz val="8"/>
            <color indexed="81"/>
            <rFont val="Tahoma"/>
            <family val="2"/>
            <charset val="186"/>
          </rPr>
          <t>Punktide vahe omavahelistes mängudes</t>
        </r>
      </text>
    </comment>
    <comment ref="M140"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9.xml><?xml version="1.0" encoding="utf-8"?>
<comments xmlns="http://schemas.openxmlformats.org/spreadsheetml/2006/main">
  <authors>
    <author>Author</author>
  </authors>
  <commentList>
    <comment ref="K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M34"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10.xml><?xml version="1.0" encoding="utf-8"?>
<comments xmlns="http://schemas.openxmlformats.org/spreadsheetml/2006/main">
  <authors>
    <author>Author</author>
  </authors>
  <commentList>
    <comment ref="K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M34" authorId="0">
      <text>
        <r>
          <rPr>
            <b/>
            <sz val="8"/>
            <color indexed="81"/>
            <rFont val="Tahoma"/>
            <family val="2"/>
            <charset val="186"/>
          </rPr>
          <t>TRUE kui: 
3-ses alagrupis 3 nime ja   6 tulemust või
4-ses alagrupis 4 nime ja 12 tulemust või
5-ses alagrupis 5 nime ja 20 tulemust</t>
        </r>
      </text>
    </comment>
    <comment ref="G156" authorId="0">
      <text>
        <r>
          <rPr>
            <b/>
            <sz val="8"/>
            <color indexed="81"/>
            <rFont val="Tahoma"/>
            <family val="2"/>
            <charset val="186"/>
          </rPr>
          <t>Punktid kirja panematta</t>
        </r>
      </text>
    </comment>
    <comment ref="K177" authorId="0">
      <text>
        <r>
          <rPr>
            <b/>
            <sz val="8"/>
            <color indexed="81"/>
            <rFont val="Tahoma"/>
            <family val="2"/>
            <charset val="186"/>
          </rPr>
          <t>Võite omavahelistes mängudes</t>
        </r>
      </text>
    </comment>
    <comment ref="L177" authorId="0">
      <text>
        <r>
          <rPr>
            <b/>
            <sz val="8"/>
            <color indexed="81"/>
            <rFont val="Tahoma"/>
            <family val="2"/>
            <charset val="186"/>
          </rPr>
          <t>Punktide vahe omavahelistes mängudes</t>
        </r>
      </text>
    </comment>
    <comment ref="M177"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11.xml><?xml version="1.0" encoding="utf-8"?>
<comments xmlns="http://schemas.openxmlformats.org/spreadsheetml/2006/main">
  <authors>
    <author>Author</author>
  </authors>
  <commentList>
    <comment ref="K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M34"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12.xml><?xml version="1.0" encoding="utf-8"?>
<comments xmlns="http://schemas.openxmlformats.org/spreadsheetml/2006/main">
  <authors>
    <author>Author</author>
  </authors>
  <commentList>
    <comment ref="K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TRUE kui: 
3-ses alagrupis 3 nime ja   6 tulemust või
4-ses alagrupis 4 nime ja 12 tulemust või
5-ses alagrupis 5 nime ja 20 tulemust</t>
        </r>
      </text>
    </comment>
    <comment ref="K34" authorId="0">
      <text>
        <r>
          <rPr>
            <b/>
            <sz val="8"/>
            <color indexed="81"/>
            <rFont val="Tahoma"/>
            <family val="2"/>
            <charset val="186"/>
          </rPr>
          <t>Võite omavahelistes mängudes</t>
        </r>
      </text>
    </comment>
    <comment ref="L34" authorId="0">
      <text>
        <r>
          <rPr>
            <b/>
            <sz val="8"/>
            <color indexed="81"/>
            <rFont val="Tahoma"/>
            <family val="2"/>
            <charset val="186"/>
          </rPr>
          <t>Punktide vahe omavahelistes mängudes</t>
        </r>
      </text>
    </comment>
    <comment ref="M34"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13.xml><?xml version="1.0" encoding="utf-8"?>
<comments xmlns="http://schemas.openxmlformats.org/spreadsheetml/2006/main">
  <authors>
    <author>Author</author>
  </authors>
  <commentList>
    <comment ref="K140" authorId="0">
      <text>
        <r>
          <rPr>
            <b/>
            <sz val="8"/>
            <color indexed="81"/>
            <rFont val="Tahoma"/>
            <family val="2"/>
            <charset val="186"/>
          </rPr>
          <t>Võite omavahelistes mängudes</t>
        </r>
      </text>
    </comment>
    <comment ref="L140" authorId="0">
      <text>
        <r>
          <rPr>
            <b/>
            <sz val="8"/>
            <color indexed="81"/>
            <rFont val="Tahoma"/>
            <family val="2"/>
            <charset val="186"/>
          </rPr>
          <t>Punktide vahe omavahelistes mängudes</t>
        </r>
      </text>
    </comment>
    <comment ref="M140" authorId="0">
      <text>
        <r>
          <rPr>
            <b/>
            <sz val="8"/>
            <color indexed="81"/>
            <rFont val="Tahoma"/>
            <family val="2"/>
            <charset val="186"/>
          </rPr>
          <t>TRUE kui: 
3-ses alagrupis 3 nime ja   6 tulemust või
4-ses alagrupis 4 nime ja 12 tulemust või
5-ses alagrupis 5 nime ja 20 tulemust</t>
        </r>
      </text>
    </comment>
  </commentList>
</comments>
</file>

<file path=xl/comments14.xml><?xml version="1.0" encoding="utf-8"?>
<comments xmlns="http://schemas.openxmlformats.org/spreadsheetml/2006/main">
  <authors>
    <author>Author</author>
  </authors>
  <commentList>
    <comment ref="L5" authorId="0">
      <text>
        <r>
          <rPr>
            <b/>
            <sz val="8"/>
            <color indexed="81"/>
            <rFont val="Tahoma"/>
            <family val="2"/>
            <charset val="186"/>
          </rPr>
          <t>on kirjas esimesed 19</t>
        </r>
      </text>
    </comment>
    <comment ref="M5" authorId="0">
      <text>
        <r>
          <rPr>
            <b/>
            <sz val="8"/>
            <color indexed="81"/>
            <rFont val="Tahoma"/>
            <family val="2"/>
            <charset val="186"/>
          </rPr>
          <t>Toila valla elanikud</t>
        </r>
      </text>
    </comment>
    <comment ref="O5" authorId="0">
      <text>
        <r>
          <rPr>
            <b/>
            <sz val="8"/>
            <color indexed="81"/>
            <rFont val="Tahoma"/>
            <family val="2"/>
            <charset val="186"/>
          </rPr>
          <t xml:space="preserve">max võistkondade lisamiseks lohista PVO lehel tabel allapoole ja lisa üles punktid. 
Valemis lisa kõige ette 
…A1…&amp;
</t>
        </r>
      </text>
    </comment>
    <comment ref="A6" authorId="0">
      <text>
        <r>
          <rPr>
            <b/>
            <sz val="8"/>
            <color indexed="81"/>
            <rFont val="Tahoma"/>
            <family val="2"/>
            <charset val="186"/>
          </rPr>
          <t>Toila valla mängijad</t>
        </r>
      </text>
    </comment>
    <comment ref="AG9" authorId="0">
      <text>
        <r>
          <rPr>
            <b/>
            <sz val="8"/>
            <color indexed="81"/>
            <rFont val="Tahoma"/>
            <family val="2"/>
            <charset val="186"/>
          </rPr>
          <t xml:space="preserve">Võrdse punktisumma korral saab kõrgema koha mängija, kellel on rohkem esikohtasid, siis teisi kohtasid jne. 
</t>
        </r>
        <r>
          <rPr>
            <b/>
            <sz val="8"/>
            <color indexed="57"/>
            <rFont val="Tahoma"/>
            <family val="2"/>
            <charset val="186"/>
          </rPr>
          <t>Valemita</t>
        </r>
        <r>
          <rPr>
            <b/>
            <sz val="8"/>
            <color indexed="81"/>
            <rFont val="Tahoma"/>
            <family val="2"/>
            <charset val="186"/>
          </rPr>
          <t>, sest valem loeb kõrgemate kohtade asemel suuremaid punkte.</t>
        </r>
      </text>
    </comment>
    <comment ref="AC68" authorId="0">
      <text>
        <r>
          <rPr>
            <b/>
            <sz val="8"/>
            <color indexed="81"/>
            <rFont val="Tahoma"/>
            <family val="2"/>
            <charset val="186"/>
          </rPr>
          <t>valemita, sest kahes duos oli kolm võistlejat</t>
        </r>
      </text>
    </comment>
    <comment ref="AD68" authorId="0">
      <text>
        <r>
          <rPr>
            <b/>
            <sz val="8"/>
            <color indexed="81"/>
            <rFont val="Tahoma"/>
            <family val="2"/>
            <charset val="186"/>
          </rPr>
          <t>valemita, sest kahes duos oli kolm võistlejat</t>
        </r>
      </text>
    </comment>
  </commentList>
</comments>
</file>

<file path=xl/comments15.xml><?xml version="1.0" encoding="utf-8"?>
<comments xmlns="http://schemas.openxmlformats.org/spreadsheetml/2006/main">
  <authors>
    <author>Author</author>
  </authors>
  <commentList>
    <comment ref="E7" authorId="0">
      <text>
        <r>
          <rPr>
            <b/>
            <sz val="8"/>
            <color indexed="81"/>
            <rFont val="Tahoma"/>
            <family val="2"/>
            <charset val="186"/>
          </rPr>
          <t>Juuniorid 11 - 16 aastat</t>
        </r>
      </text>
    </comment>
    <comment ref="G7" authorId="0">
      <text>
        <r>
          <rPr>
            <b/>
            <sz val="8"/>
            <color indexed="81"/>
            <rFont val="Tahoma"/>
            <family val="2"/>
            <charset val="186"/>
          </rPr>
          <t>Lapsed kuni 10 aastat</t>
        </r>
      </text>
    </comment>
  </commentList>
</comments>
</file>

<file path=xl/sharedStrings.xml><?xml version="1.0" encoding="utf-8"?>
<sst xmlns="http://schemas.openxmlformats.org/spreadsheetml/2006/main" count="4231" uniqueCount="774">
  <si>
    <t>Esmaspäev</t>
  </si>
  <si>
    <t>Teisipäev</t>
  </si>
  <si>
    <t>Kolmapäev</t>
  </si>
  <si>
    <t>Neljapäev</t>
  </si>
  <si>
    <t>Reede</t>
  </si>
  <si>
    <t>Laupäev</t>
  </si>
  <si>
    <t>Pühapäev</t>
  </si>
  <si>
    <t>Ida-Viru reitinguvõistlused on rasvases trükis ja sinise taustaga</t>
  </si>
  <si>
    <t>Viimased muudatused on punasega</t>
  </si>
  <si>
    <t>Rahvusvahelised ja katsevõistlused on sinisega ja kaldkirjas</t>
  </si>
  <si>
    <t xml:space="preserve">Voka karikavõistlused on rohelise taustaga. </t>
  </si>
  <si>
    <t>Mäetaguse karikavõistlused on punase taustaga. Arvesse läheb 3 võistlust 5st (üksikmäng + 1 duo + 1 trio)</t>
  </si>
  <si>
    <t>Võite</t>
  </si>
  <si>
    <t>K</t>
  </si>
  <si>
    <t>Nimi</t>
  </si>
  <si>
    <t>Kõik mängud algasid seisult 1:1</t>
  </si>
  <si>
    <t>1. voor</t>
  </si>
  <si>
    <t>2. voor</t>
  </si>
  <si>
    <t>3. voor</t>
  </si>
  <si>
    <t>4. voor</t>
  </si>
  <si>
    <t>5. voor</t>
  </si>
  <si>
    <t>Võit - 2 punkti</t>
  </si>
  <si>
    <t>Viik - 1 punkt</t>
  </si>
  <si>
    <t>Kaotus - 0 punkti</t>
  </si>
  <si>
    <t>jrk</t>
  </si>
  <si>
    <t>Kokku</t>
  </si>
  <si>
    <t>Koht</t>
  </si>
  <si>
    <t>Viike</t>
  </si>
  <si>
    <t>Arvesse läheb 9 võistlust 13st (3 üksikmängu (sh tulistamine) 5st + 3 duot 4st  + 3 triot 4st)</t>
  </si>
  <si>
    <t xml:space="preserve">võistkondlikud MV </t>
  </si>
  <si>
    <t>(35+), ÜKSIK</t>
  </si>
  <si>
    <t>-</t>
  </si>
  <si>
    <t>Janek Tarto, Romek Tarto</t>
  </si>
  <si>
    <t>Elmo Lageda, Tõnu Piik</t>
  </si>
  <si>
    <t>Ljudmila Varendi, Viktor Švarõgin</t>
  </si>
  <si>
    <t>Oksana Sažina, Oleg Rõndenkov</t>
  </si>
  <si>
    <t>Illar Tõnurist, Jaan Saar</t>
  </si>
  <si>
    <t>Aigi Orro, Kalle Orro</t>
  </si>
  <si>
    <t>Tõnu Kapper, Vladimir Ogneštšikov</t>
  </si>
  <si>
    <t>Enn Tokman, Tarmo Bombe</t>
  </si>
  <si>
    <t>1:13</t>
  </si>
  <si>
    <t>2:13</t>
  </si>
  <si>
    <t>13:12</t>
  </si>
  <si>
    <t>11:13</t>
  </si>
  <si>
    <t>13:1</t>
  </si>
  <si>
    <t>8:13</t>
  </si>
  <si>
    <t>13:3</t>
  </si>
  <si>
    <t>13:5</t>
  </si>
  <si>
    <t>13:8</t>
  </si>
  <si>
    <t>5:13</t>
  </si>
  <si>
    <t>3:13</t>
  </si>
  <si>
    <t>13:6</t>
  </si>
  <si>
    <t>13:2</t>
  </si>
  <si>
    <t>13:11</t>
  </si>
  <si>
    <t>S</t>
  </si>
  <si>
    <t>EELVOOR</t>
  </si>
  <si>
    <t>min</t>
  </si>
  <si>
    <t>max</t>
  </si>
  <si>
    <t>VEERANDFINAALID</t>
  </si>
  <si>
    <t>POOLFINAALID</t>
  </si>
  <si>
    <t>PRONKSIMÄNG</t>
  </si>
  <si>
    <t>FINAAL</t>
  </si>
  <si>
    <t>Eesti reitingus läheb arvesse 10 võistlust 12st  (5 reitinguvõistlust 6st + 5 Eesti MV-d 6st) + sisereiting</t>
  </si>
  <si>
    <t>Mai 2018</t>
  </si>
  <si>
    <t>Juuni 2018</t>
  </si>
  <si>
    <t>Juuli 2018</t>
  </si>
  <si>
    <t>August 2018</t>
  </si>
  <si>
    <t>September 2018</t>
  </si>
  <si>
    <t>Oktoober 2018</t>
  </si>
  <si>
    <t>Aprill 2018</t>
  </si>
  <si>
    <t>TRIO, DUO</t>
  </si>
  <si>
    <t>2. Meeste ja naiste EM, ÜKSIK</t>
  </si>
  <si>
    <t>48. Meeste MM, TRIO, TUL</t>
  </si>
  <si>
    <t>21. EuroCup kvalifikatsioon, ÜKSIK, DUO, SEGADUO, TRIO, SEGATRIO</t>
  </si>
  <si>
    <t>gud (35+), SEGATRIO</t>
  </si>
  <si>
    <t>Kuld</t>
  </si>
  <si>
    <t>Hõbe</t>
  </si>
  <si>
    <t>Pronks</t>
  </si>
  <si>
    <t>Osalusi</t>
  </si>
  <si>
    <t>Medaleid</t>
  </si>
  <si>
    <t>KOHT</t>
  </si>
  <si>
    <t>KOKKU</t>
  </si>
  <si>
    <t>Üld</t>
  </si>
  <si>
    <t>N</t>
  </si>
  <si>
    <t>J</t>
  </si>
  <si>
    <t>***</t>
  </si>
  <si>
    <t>**</t>
  </si>
  <si>
    <t>*</t>
  </si>
  <si>
    <t>Oskar Sepp</t>
  </si>
  <si>
    <t>Ivar Viljaste</t>
  </si>
  <si>
    <t>Janek Tarto</t>
  </si>
  <si>
    <t>Matti Vinni</t>
  </si>
  <si>
    <t xml:space="preserve">  </t>
  </si>
  <si>
    <t>Jaan Sepp</t>
  </si>
  <si>
    <t>Aarne Välja</t>
  </si>
  <si>
    <t>Boriss Klubov</t>
  </si>
  <si>
    <t>Tõnu Piik</t>
  </si>
  <si>
    <t>Andres Veski</t>
  </si>
  <si>
    <t>Argo Sepp</t>
  </si>
  <si>
    <t>Elmo Lageda</t>
  </si>
  <si>
    <t>Vello Vasser</t>
  </si>
  <si>
    <t>Mait Metsla</t>
  </si>
  <si>
    <t>Vladimir Ogneštšikov</t>
  </si>
  <si>
    <t>Tõnu Kapper</t>
  </si>
  <si>
    <t>Svetlana Veski</t>
  </si>
  <si>
    <t>Ülo Piik</t>
  </si>
  <si>
    <t>Kristo Viljaste</t>
  </si>
  <si>
    <t>Andrei Grintšak</t>
  </si>
  <si>
    <t>Ljudmila Varendi</t>
  </si>
  <si>
    <t>Oleg Rõndenkov</t>
  </si>
  <si>
    <t>Aigi Orro</t>
  </si>
  <si>
    <t>Kalle Orro</t>
  </si>
  <si>
    <t>Viktor Švarõgin</t>
  </si>
  <si>
    <t>Lemmit Toomra</t>
  </si>
  <si>
    <t>Johannes Neiland</t>
  </si>
  <si>
    <t>Karla Purgats</t>
  </si>
  <si>
    <t>Emil Murzajev</t>
  </si>
  <si>
    <t>Enn Tokman</t>
  </si>
  <si>
    <t>Daniil Alekankin</t>
  </si>
  <si>
    <t>Meelis Luud</t>
  </si>
  <si>
    <t>Urmas Randlaine</t>
  </si>
  <si>
    <t>Sirje Viljaste</t>
  </si>
  <si>
    <t>Tarmo Bombe</t>
  </si>
  <si>
    <t>Väino Aul</t>
  </si>
  <si>
    <t>Illar Tõnurist</t>
  </si>
  <si>
    <t>Henri Mitt</t>
  </si>
  <si>
    <t>Oksana Sažina</t>
  </si>
  <si>
    <t>Klavdia Piik</t>
  </si>
  <si>
    <t>Einar Juhkam</t>
  </si>
  <si>
    <t>Tõnis Anton</t>
  </si>
  <si>
    <t>Melika Lehtla</t>
  </si>
  <si>
    <t>Heili Vasser</t>
  </si>
  <si>
    <t>Osalejaid</t>
  </si>
  <si>
    <t>Võistkondi</t>
  </si>
  <si>
    <t>Enno Konsa</t>
  </si>
  <si>
    <t>Hugo Müüdla</t>
  </si>
  <si>
    <t>Jaan Rooden</t>
  </si>
  <si>
    <t>n</t>
  </si>
  <si>
    <t>j</t>
  </si>
  <si>
    <t>U</t>
  </si>
  <si>
    <t>A</t>
  </si>
  <si>
    <t>B</t>
  </si>
  <si>
    <t>C</t>
  </si>
  <si>
    <t>D</t>
  </si>
  <si>
    <t>E</t>
  </si>
  <si>
    <t>F</t>
  </si>
  <si>
    <t>G</t>
  </si>
  <si>
    <t>H</t>
  </si>
  <si>
    <t>I</t>
  </si>
  <si>
    <t>L</t>
  </si>
  <si>
    <t>M</t>
  </si>
  <si>
    <t>O</t>
  </si>
  <si>
    <t>P</t>
  </si>
  <si>
    <t>Q</t>
  </si>
  <si>
    <t>R</t>
  </si>
  <si>
    <t>T</t>
  </si>
  <si>
    <t>V</t>
  </si>
  <si>
    <t>W</t>
  </si>
  <si>
    <t>X</t>
  </si>
  <si>
    <t>Y</t>
  </si>
  <si>
    <t>Z</t>
  </si>
  <si>
    <t>Etappide arvule vastav täht</t>
  </si>
  <si>
    <t>Etappide arv, millel on võistleja saanud näiteks 20 punkti</t>
  </si>
  <si>
    <t>Nagu näha, saab hooajal teha kuni 31 etappi (kuid tähtede ette võib lisada ka 9 numbrit - seega max 40 etappi)</t>
  </si>
  <si>
    <t>Kollase taustaga on põhitabelile lisatud punktid</t>
  </si>
  <si>
    <t>DSQ</t>
  </si>
  <si>
    <t>kaks tühikut - ei osalenud</t>
  </si>
  <si>
    <t>val 2</t>
  </si>
  <si>
    <t>val 1&amp;2</t>
  </si>
  <si>
    <t>jä 1&amp;2</t>
  </si>
  <si>
    <t>val 3</t>
  </si>
  <si>
    <t>val 1&amp;2&amp;3</t>
  </si>
  <si>
    <t>jä 1&amp;2&amp;3</t>
  </si>
  <si>
    <t xml:space="preserve"> </t>
  </si>
  <si>
    <t>vasak täht on 40 punkti, järgmine 34 punkti jne</t>
  </si>
  <si>
    <t>kolm numbrit vasakul ja komakoht on punktisumma tekstina</t>
  </si>
  <si>
    <t>paremus- järjestus kasutab seda veergu</t>
  </si>
  <si>
    <t>nimed tähestiku järgi tagurpidi</t>
  </si>
  <si>
    <t>kolm numbrit paremal näitavad, mitmes on nimi tähestiku järgi tagant poolt</t>
  </si>
  <si>
    <t>IDA-VIRUMAA PETANGIREITING 2018</t>
  </si>
  <si>
    <t>Peida halli taustaga veerud</t>
  </si>
  <si>
    <t>TUL</t>
  </si>
  <si>
    <t>Jõhvi MV</t>
  </si>
  <si>
    <t>K-Järve MV</t>
  </si>
  <si>
    <t>Ida-Viru MV</t>
  </si>
  <si>
    <t>Anna Romanenko</t>
  </si>
  <si>
    <t>Tarmo Müür</t>
  </si>
  <si>
    <t>k</t>
  </si>
  <si>
    <t>val2</t>
  </si>
  <si>
    <t>sordi selle veeru järgi suuremast väiksemaks</t>
  </si>
  <si>
    <t>Punktid</t>
  </si>
  <si>
    <t>Uzhgorod (Ukraina)</t>
  </si>
  <si>
    <t>11. Sakura, TRIO</t>
  </si>
  <si>
    <t>11. Sakura, ÜKSIK</t>
  </si>
  <si>
    <t>11. Sakura, DUO</t>
  </si>
  <si>
    <t>SEGATRIO</t>
  </si>
  <si>
    <t xml:space="preserve">7. Valge Daam </t>
  </si>
  <si>
    <t>SEGADUO</t>
  </si>
  <si>
    <t>TRIO</t>
  </si>
  <si>
    <t>DUO</t>
  </si>
  <si>
    <t>Spordimängudele</t>
  </si>
  <si>
    <t>ÜKSIK</t>
  </si>
  <si>
    <t xml:space="preserve">Finaali pääsemiseks on vajalik osavõtt vähemalt 3st etapist. </t>
  </si>
  <si>
    <t>Finaal mängitakse kahe kaotuse süsteemis üksimängus.</t>
  </si>
  <si>
    <t>edasi/</t>
  </si>
  <si>
    <t>/koht</t>
  </si>
  <si>
    <t>Romek Tarto</t>
  </si>
  <si>
    <t>Urmas Jõeäär</t>
  </si>
  <si>
    <t>Jaan Saar</t>
  </si>
  <si>
    <t>Kenneth Muusikus</t>
  </si>
  <si>
    <t>Mikk Neem</t>
  </si>
  <si>
    <t>:</t>
  </si>
  <si>
    <t>Ida-Viru punktid</t>
  </si>
  <si>
    <t>Voka punktid</t>
  </si>
  <si>
    <t>Kui osales 11 võistkonda, sai võitja 11 punkti</t>
  </si>
  <si>
    <t>Kuupäev</t>
  </si>
  <si>
    <t>Aeg</t>
  </si>
  <si>
    <t>Võistlus</t>
  </si>
  <si>
    <t>Mänguviis</t>
  </si>
  <si>
    <t>Toimumiskoht</t>
  </si>
  <si>
    <t>Korraldaja</t>
  </si>
  <si>
    <t>Osal</t>
  </si>
  <si>
    <t>11:00</t>
  </si>
  <si>
    <t>Välishooaja avavõistlus</t>
  </si>
  <si>
    <t>Üksik</t>
  </si>
  <si>
    <t>K-Järve SHK, Ivar Viljaste</t>
  </si>
  <si>
    <t>Trio</t>
  </si>
  <si>
    <t>18:00</t>
  </si>
  <si>
    <t>Duo</t>
  </si>
  <si>
    <t>Mäetaguse 8. KV 1. etapp</t>
  </si>
  <si>
    <t>Mäetaguse SK, Taavi Toomel</t>
  </si>
  <si>
    <t>Tulistamine</t>
  </si>
  <si>
    <t>Toila vald, Johannes Neiland</t>
  </si>
  <si>
    <t>10:00</t>
  </si>
  <si>
    <t>Mäetaguse 8. KV 2. etapp</t>
  </si>
  <si>
    <t>Ida-Virumaa MV</t>
  </si>
  <si>
    <t>Mäetaguse 8. KV 3. etapp</t>
  </si>
  <si>
    <t>LTK Üks-Teist, Tõnu Kapper</t>
  </si>
  <si>
    <t>Mäetaguse 8. KV 4. etapp</t>
  </si>
  <si>
    <t>Mäetaguse 8. KV 5. etapp</t>
  </si>
  <si>
    <t>Voka pliks-plaks</t>
  </si>
  <si>
    <t>Hooaja lõpetamine (pliks-plaks)</t>
  </si>
  <si>
    <t>Ida-Viru reitinguvõistlused on rasvases trükis</t>
  </si>
  <si>
    <t>Mäetaguse karikavõistlused on punase taustaga. Arvesse läheb 3 võistlust 5st (üksikmäng + duo + trio)</t>
  </si>
  <si>
    <t>Eesti reitingusarja võistlused on kollase taustaga</t>
  </si>
  <si>
    <t>IDA-VIRUMAA PETANGIKALENDER 2018</t>
  </si>
  <si>
    <t>T, 16.05.2018</t>
  </si>
  <si>
    <t>T, 13.06.2018</t>
  </si>
  <si>
    <t>T, 04.07.2018</t>
  </si>
  <si>
    <t>L, 23.09.2018</t>
  </si>
  <si>
    <t>P, 01.10.2018</t>
  </si>
  <si>
    <t>vasak täht on 17 punkti, järgmine 16 punkti jne</t>
  </si>
  <si>
    <t>paremus-järjestus</t>
  </si>
  <si>
    <t>nimi tähestik</t>
  </si>
  <si>
    <t>kolm paremat numbrit näitavad mitmes on nimi tähestiku järgi</t>
  </si>
  <si>
    <t>sordi selle</t>
  </si>
  <si>
    <t>kasutab</t>
  </si>
  <si>
    <t>järgi</t>
  </si>
  <si>
    <t>jä val 1&amp;2</t>
  </si>
  <si>
    <t>val3</t>
  </si>
  <si>
    <t>jä val 1&amp;2&amp;3</t>
  </si>
  <si>
    <t>rank</t>
  </si>
  <si>
    <t>Toomas Tedrekull</t>
  </si>
  <si>
    <t>Margus Vasser</t>
  </si>
  <si>
    <t>Brigitta Neiland</t>
  </si>
  <si>
    <t>Jan-Martin Neiland</t>
  </si>
  <si>
    <t>K, 09.05.2018</t>
  </si>
  <si>
    <t>K, 23.05.2018</t>
  </si>
  <si>
    <t>Voka 5. KV 1. etapp</t>
  </si>
  <si>
    <t>Voka 5. KV 2. etapp</t>
  </si>
  <si>
    <t>Voka 5. KV 3. etapp</t>
  </si>
  <si>
    <t>Voka 5. KV 4. etapp</t>
  </si>
  <si>
    <t>Voka 5. KV 5. etapp</t>
  </si>
  <si>
    <t>Voka 5. KV 6. etapp</t>
  </si>
  <si>
    <t>Voka 5. KV 7. etapp</t>
  </si>
  <si>
    <t>Voka 5. KV 8. etapp</t>
  </si>
  <si>
    <t>Voka 5. KV 9. etapp</t>
  </si>
  <si>
    <t>Voka 5. KV 10. etapp</t>
  </si>
  <si>
    <t>K, 06.06.2018</t>
  </si>
  <si>
    <t>K, 27.06.2018</t>
  </si>
  <si>
    <t>K, 04.07.2018</t>
  </si>
  <si>
    <t>K, 25.07.2018</t>
  </si>
  <si>
    <t>K, 01.08.2018</t>
  </si>
  <si>
    <t>Toila valla MV (17. muruturniir)</t>
  </si>
  <si>
    <t>P, 17.06.2018</t>
  </si>
  <si>
    <t>L, 16.06.2018</t>
  </si>
  <si>
    <t>R, 29.06.2018</t>
  </si>
  <si>
    <t>VOKA 5. KARIKAVÕISTLUSED 2018</t>
  </si>
  <si>
    <t>max 20 võistkonda</t>
  </si>
  <si>
    <t>L, 05.05.2018</t>
  </si>
  <si>
    <t>P, 06.05.2018</t>
  </si>
  <si>
    <t>EPKL</t>
  </si>
  <si>
    <t>Trio, duo, üksik</t>
  </si>
  <si>
    <t>L, 02.06.2018</t>
  </si>
  <si>
    <t>P, 03.06.2018</t>
  </si>
  <si>
    <t>Harjumaa, Tallinn</t>
  </si>
  <si>
    <t>maavõistlus, TRIO</t>
  </si>
  <si>
    <t>1. etapp, DUO</t>
  </si>
  <si>
    <t>2. etapp, DUO</t>
  </si>
  <si>
    <t>3. etapp, DUO</t>
  </si>
  <si>
    <t>4. etapp, DUO</t>
  </si>
  <si>
    <t>5. etapp, DUO</t>
  </si>
  <si>
    <t>6. etapp, DUO</t>
  </si>
  <si>
    <t>7. etapp, DUO</t>
  </si>
  <si>
    <t>8. etapp, DUO</t>
  </si>
  <si>
    <t>9. etapp, DUO</t>
  </si>
  <si>
    <t>10. etapp, DUO</t>
  </si>
  <si>
    <t>1. etapp, TRIO</t>
  </si>
  <si>
    <t>3. etapp, ÜKSIK</t>
  </si>
  <si>
    <t>17:30</t>
  </si>
  <si>
    <t>(pliks-plaks), ÜKSIK</t>
  </si>
  <si>
    <t>P, 14.10.2018</t>
  </si>
  <si>
    <t>N, 03.05.2018</t>
  </si>
  <si>
    <t>N, 17.05.2018</t>
  </si>
  <si>
    <t>N, 31.05.2018</t>
  </si>
  <si>
    <t>N, 28.06.2018</t>
  </si>
  <si>
    <t>N, 14.06.2018</t>
  </si>
  <si>
    <t>Jõhvi 18. MV</t>
  </si>
  <si>
    <t>N, 19.07.2018</t>
  </si>
  <si>
    <t>N, 02.08.2018</t>
  </si>
  <si>
    <t>K-Järve 19. MV</t>
  </si>
  <si>
    <t>Jõhvi 16. MV</t>
  </si>
  <si>
    <t>P, 16.09.2018</t>
  </si>
  <si>
    <t>L, 04.08.2018</t>
  </si>
  <si>
    <t>P, 05.08.2018</t>
  </si>
  <si>
    <t>ESVL, Johannes Neiland</t>
  </si>
  <si>
    <t>EPKL, Johannes Neiland</t>
  </si>
  <si>
    <t>T, 01.05.2018</t>
  </si>
  <si>
    <t>Ekstreempetank</t>
  </si>
  <si>
    <t xml:space="preserve">TRIO (põhiklass, </t>
  </si>
  <si>
    <t>naised)</t>
  </si>
  <si>
    <t xml:space="preserve">te suvemängud, </t>
  </si>
  <si>
    <t>P, 29.07.2018</t>
  </si>
  <si>
    <t xml:space="preserve">TRIO, SEGATRIO, DUO, </t>
  </si>
  <si>
    <t>SEGADUO, ÜKSIK</t>
  </si>
  <si>
    <t>Voka 24h turniir</t>
  </si>
  <si>
    <t>Arvesse läheb 9 võistlust 13st (3 üksikmängu (sh tulistamine) 5st + 3 duot 4st + 3 triot 4st)</t>
  </si>
  <si>
    <t>K-Järve 17. MV</t>
  </si>
  <si>
    <t>Trio(põhikl,naised)</t>
  </si>
  <si>
    <t>Finaali pääsemiseks on vajalik osavõtt vähemalt 3st etapist. Finaal mängitakse kahe kaotuse süsteemis üksimängus.</t>
  </si>
  <si>
    <t>Aleksander Korikov</t>
  </si>
  <si>
    <t>maa MV,</t>
  </si>
  <si>
    <t>Toila valla Jaaniturniir</t>
  </si>
  <si>
    <t>Peterhof, Peterburg (Venemaa)</t>
  </si>
  <si>
    <t>karikas, TRIO</t>
  </si>
  <si>
    <t xml:space="preserve">16.Peterhofi linnapea </t>
  </si>
  <si>
    <t>16.Linnapea karikas, DUO</t>
  </si>
  <si>
    <t>registr.BalticCup 3</t>
  </si>
  <si>
    <t xml:space="preserve">registr. </t>
  </si>
  <si>
    <t>registr.BalticCup 2</t>
  </si>
  <si>
    <t>registr.BalticCup 1</t>
  </si>
  <si>
    <t>TRIO, SEGATRIO</t>
  </si>
  <si>
    <t>katsevõistlustele</t>
  </si>
  <si>
    <t>N, 12.07.2018</t>
  </si>
  <si>
    <t>registr.ESL 35+</t>
  </si>
  <si>
    <t>registr.Jõud MV</t>
  </si>
  <si>
    <t>registr.EM,MM</t>
  </si>
  <si>
    <t>Kui mängija nimi on vigane või puudub reitingutabelist, teeb punaseks</t>
  </si>
  <si>
    <t>punktid</t>
  </si>
  <si>
    <t>enne 1 koma</t>
  </si>
  <si>
    <t>pärast 1 koma</t>
  </si>
  <si>
    <t>1 ja 2 koma vahel</t>
  </si>
  <si>
    <t>pärast 2 koma</t>
  </si>
  <si>
    <t>V-K</t>
  </si>
  <si>
    <t>+/-</t>
  </si>
  <si>
    <t>kokku</t>
  </si>
  <si>
    <t>1-3</t>
  </si>
  <si>
    <t>2-3</t>
  </si>
  <si>
    <t>1-2</t>
  </si>
  <si>
    <t>1-4</t>
  </si>
  <si>
    <t>2-4</t>
  </si>
  <si>
    <t>3-4</t>
  </si>
  <si>
    <t>1-5</t>
  </si>
  <si>
    <t>4-5</t>
  </si>
  <si>
    <t>2-5</t>
  </si>
  <si>
    <t>2-1</t>
  </si>
  <si>
    <t>3-5</t>
  </si>
  <si>
    <t>1 - 8 koht</t>
  </si>
  <si>
    <t>A1</t>
  </si>
  <si>
    <t>D2</t>
  </si>
  <si>
    <t>B1</t>
  </si>
  <si>
    <t>C2</t>
  </si>
  <si>
    <t>C1</t>
  </si>
  <si>
    <t>1. koht</t>
  </si>
  <si>
    <t>B2</t>
  </si>
  <si>
    <t>A2</t>
  </si>
  <si>
    <t>2. koht</t>
  </si>
  <si>
    <t>D1</t>
  </si>
  <si>
    <t>3. koht</t>
  </si>
  <si>
    <t>4. koht</t>
  </si>
  <si>
    <t>5. koht</t>
  </si>
  <si>
    <t>6. koht</t>
  </si>
  <si>
    <t>7. koht</t>
  </si>
  <si>
    <t>8. koht</t>
  </si>
  <si>
    <t>A3</t>
  </si>
  <si>
    <t>D4</t>
  </si>
  <si>
    <t>B3</t>
  </si>
  <si>
    <t>C4</t>
  </si>
  <si>
    <t>C3</t>
  </si>
  <si>
    <t>9. koht</t>
  </si>
  <si>
    <t>B4</t>
  </si>
  <si>
    <t>A4</t>
  </si>
  <si>
    <t>10. koht</t>
  </si>
  <si>
    <t>D3</t>
  </si>
  <si>
    <t>11. koht</t>
  </si>
  <si>
    <t>12. koht</t>
  </si>
  <si>
    <t>13. koht</t>
  </si>
  <si>
    <t>14. koht</t>
  </si>
  <si>
    <t>15. koht</t>
  </si>
  <si>
    <t>1-4,2-3</t>
  </si>
  <si>
    <t>Võitjad</t>
  </si>
  <si>
    <t>Kaotajad</t>
  </si>
  <si>
    <t>VK-KV</t>
  </si>
  <si>
    <t>Boriss Klubov, Urmas Jõeäär</t>
  </si>
  <si>
    <t>Illar Tõnurist, Oleg Rõndenkov</t>
  </si>
  <si>
    <t>Andrei Grintšak, Einar Juhkam</t>
  </si>
  <si>
    <t>Ivar Viljaste, Tõnu Kapper</t>
  </si>
  <si>
    <t>Daniil Alekankin, Ljudmila Varendi</t>
  </si>
  <si>
    <t>Jaan Saar, Tõnu Piik</t>
  </si>
  <si>
    <t>Jaan Sepp, Viktor Švarõgin</t>
  </si>
  <si>
    <t>Jaanus Onton, Taavi Press</t>
  </si>
  <si>
    <t>Elmo Lageda, Henri Mitt</t>
  </si>
  <si>
    <t>Janek Tarto, Karla Purgats</t>
  </si>
  <si>
    <t>7 - 10 koht</t>
  </si>
  <si>
    <t>Loosiduo</t>
  </si>
  <si>
    <t>LOOSIDUO</t>
  </si>
  <si>
    <t>hooaja avavõistlus</t>
  </si>
  <si>
    <t>1 - 6 koht</t>
  </si>
  <si>
    <t>51. ESL Spordimän-</t>
  </si>
  <si>
    <t>ESL individ-võistk MV (35+)</t>
  </si>
  <si>
    <t>2 ja 3 koma vahel</t>
  </si>
  <si>
    <t>pärast 3 koma</t>
  </si>
  <si>
    <t>Jaan Sepp, Mait Metsla, Matti Vinni</t>
  </si>
  <si>
    <t>Andrei Grintšak, Daniil Alekankin, Emil Murzajev</t>
  </si>
  <si>
    <t>Tõnu Kapper, Tõnu Piik, Vladimir Ogneštšikov</t>
  </si>
  <si>
    <t>Argo Sepp, Ivar Viljaste, Kristo Viljaste</t>
  </si>
  <si>
    <t>1 - 4 koht</t>
  </si>
  <si>
    <t>K-Järve KV</t>
  </si>
  <si>
    <r>
      <t xml:space="preserve">Alagrupid: A - Prantsusmaal, </t>
    </r>
    <r>
      <rPr>
        <b/>
        <i/>
        <sz val="10"/>
        <color theme="8" tint="0.39997558519241921"/>
        <rFont val="Arial"/>
        <family val="2"/>
        <charset val="186"/>
      </rPr>
      <t>B - Monacos</t>
    </r>
    <r>
      <rPr>
        <i/>
        <sz val="10"/>
        <color theme="8" tint="0.39997558519241921"/>
        <rFont val="Arial"/>
        <family val="2"/>
        <charset val="186"/>
      </rPr>
      <t>, C - Belgias, D - Itaalias)</t>
    </r>
  </si>
  <si>
    <t>Meelis Luud, Urmas Randlaine</t>
  </si>
  <si>
    <t>Jaan Sepp, Oskar Sepp</t>
  </si>
  <si>
    <t>Karla Purgats, Lemmit Toomra</t>
  </si>
  <si>
    <t>Klavdia Piik, Ülo Piik</t>
  </si>
  <si>
    <t>Kenneth Muusikus, Mait Metsla</t>
  </si>
  <si>
    <t>Henri Mitt, Urmas Jõeäär</t>
  </si>
  <si>
    <t>Brigitta Neiland, Jaan Saar, Väino Aul</t>
  </si>
  <si>
    <t>Võit</t>
  </si>
  <si>
    <t>Viik</t>
  </si>
  <si>
    <t>Kaotus</t>
  </si>
  <si>
    <t>Jussi turniiridel algavad kõik mängud seisult 1:1</t>
  </si>
  <si>
    <t>Võistlused toimuvad Voka staadionile rajatud petangiväljakutel mai 2018 – oktoober 2018.</t>
  </si>
  <si>
    <t>Osalema lubatakse kõik huvilised, kes on ennast võistlustele registreerinud ja eelnevalt tasunud osalustasu.</t>
  </si>
  <si>
    <t>Toimub 10 etappi paarismängus ja superfinaal üksikmängus. Paaride valik on vaba. Võistluste alguses võib registreerida 3 mängijat, vahetada võib iga vooru järel. Superfinaali pääsevad kõik mängijad kes on osalenud vähemalt kolmel etapil. Paarismängu etappidel toimub võistlus šveitsi süsteemis 5 vooru (vajadusel rakendatakse ajalimiiti). Superfinaalis toimub võistlus kahe miinuse süsteemis (täissüsteem).</t>
  </si>
  <si>
    <t>Iga etapi kolme parema võistkonna liiget autasustatakse nimelise medaliga. Üldarvestuse kolme paremat autasustatakse karikaga. Karikaga autasustatakse ka parimat naist, parimat Toila valla võistlejat, parimat noort ja parimat Viru SK liiget. Superfinaalis autasustatakse 6 parimat.</t>
  </si>
  <si>
    <t>Osalustasu iga mängija kohta (igal) etapil on 2 € mis tasutakse kohapeal. Viru SK liikmete osalustasu on 1 €. Osalustasust on vabastatud noored alla 16 a.</t>
  </si>
  <si>
    <t>Võistlustele saab eelregistreerida tel 5622 8909 (Juhan Neiland) või kohapeal 15 min enne võistluste algust.</t>
  </si>
  <si>
    <t>10.  Üleskerkinud küsimuste lahendamine</t>
  </si>
  <si>
    <t>Kõik üleskerkinud küsimused ja protestid lahendab peakohtunik.</t>
  </si>
  <si>
    <t>VOKA 5. LAHTISED KARIKAVÕISTLUSED PETANGIS</t>
  </si>
  <si>
    <t>JUHEND</t>
  </si>
  <si>
    <t>1. Eesmärk</t>
  </si>
  <si>
    <t>2. Aeg ja koht</t>
  </si>
  <si>
    <t>3. Juhtimine</t>
  </si>
  <si>
    <t>4. Osavõtjad</t>
  </si>
  <si>
    <t>5. Võistluste süsteem</t>
  </si>
  <si>
    <t>6. Paremusjärjestuse selgitamine</t>
  </si>
  <si>
    <t>7. Autasustamine</t>
  </si>
  <si>
    <t>8. Majandamine</t>
  </si>
  <si>
    <t>9. Registreerimine</t>
  </si>
  <si>
    <t xml:space="preserve"> - Üle 0,5 ‰ joobe puhul kõrvaldatakse võistleja antud etapilt.</t>
  </si>
  <si>
    <t xml:space="preserve"> - Võistluste eesmärgiks on välja selgitada parimad mängijad.</t>
  </si>
  <si>
    <t xml:space="preserve"> - Petangi arendamine ja propageerimine.</t>
  </si>
  <si>
    <t xml:space="preserve"> - Meisterlikkuse tõstmine ja spordiharrastuse aktiviseerimine läbi petangi mängimise.</t>
  </si>
  <si>
    <t xml:space="preserve"> - Peakorraldaja on Toila Valla spordi- ja kultuurikeskus koos Viru SK-ga.</t>
  </si>
  <si>
    <t xml:space="preserve"> - Peakohtunik Juhan Neiland, tel 5622 8909</t>
  </si>
  <si>
    <t xml:space="preserve"> - Tervisliku seisundi eest vastutab sportlane ise.</t>
  </si>
  <si>
    <t>Tere tulemast Voka 5-ndatele lahtistele karikavõistlustele petangis.</t>
  </si>
  <si>
    <t>teisip.DUO</t>
  </si>
  <si>
    <t>Kenneth Muusikus, Oleg Rõndenkov</t>
  </si>
  <si>
    <t>Argo Sepp, Emil Murzajev</t>
  </si>
  <si>
    <t>Ivar Viljaste, Kristo Viljaste</t>
  </si>
  <si>
    <t>Mait Metsla, Matti Vinni</t>
  </si>
  <si>
    <t>Andrei Grintšak, Daniil Alekankin</t>
  </si>
  <si>
    <t>Aarne Välja, Janek Tarto</t>
  </si>
  <si>
    <t>Ivar Viljaste, Sirje Viljaste</t>
  </si>
  <si>
    <t>Aleksander Korikov, Fredi Müür</t>
  </si>
  <si>
    <t>Kenneth Muusikus, Väino Aul</t>
  </si>
  <si>
    <t>Enn Tokman, Tõnu Kapper</t>
  </si>
  <si>
    <t>Argo Sepp, Jaan Sepp</t>
  </si>
  <si>
    <t>Anna Romanenko, Tarmo Müür</t>
  </si>
  <si>
    <t>Brigitta Neiland, Einar Juhkam, Johannes Neiland</t>
  </si>
  <si>
    <t>Andres Veski, Svetlana Veski</t>
  </si>
  <si>
    <t>Fredi Müür</t>
  </si>
  <si>
    <t>punkti</t>
  </si>
  <si>
    <t>Pliks plaks (kõik-kõigiga)</t>
  </si>
  <si>
    <t>Johannes Neiland, Väino Aul</t>
  </si>
  <si>
    <t>Einar Juhkam, Kenneth Muusikus</t>
  </si>
  <si>
    <t>7 - 9 koht</t>
  </si>
  <si>
    <r>
      <t>1 - 8 koht</t>
    </r>
    <r>
      <rPr>
        <sz val="10"/>
        <color theme="1"/>
        <rFont val="Arial"/>
        <family val="2"/>
        <charset val="186"/>
      </rPr>
      <t xml:space="preserve"> (alagruppide esimesed ja teised)</t>
    </r>
  </si>
  <si>
    <r>
      <t>9 - 14 koht</t>
    </r>
    <r>
      <rPr>
        <sz val="10"/>
        <color theme="1"/>
        <rFont val="Arial"/>
        <family val="2"/>
        <charset val="186"/>
      </rPr>
      <t xml:space="preserve"> (alagruppide kolmandad ja neljandad)</t>
    </r>
  </si>
  <si>
    <t>16. koht</t>
  </si>
  <si>
    <t>17. koht</t>
  </si>
  <si>
    <t>D5</t>
  </si>
  <si>
    <t>Aarne Välja, Janek Tarto, Romek Tarto</t>
  </si>
  <si>
    <t>Boriss Klubov, Elmo Lageda, Tõnu Piik</t>
  </si>
  <si>
    <t>Ivar Viljaste, Meelis Luud, Sirje Viljaste</t>
  </si>
  <si>
    <t>Enn Tokman, Jaan Saar, Tarmo Bombe</t>
  </si>
  <si>
    <t>Oksana Sažina, Oleg Rõndenkov, Toomas Tedrekull</t>
  </si>
  <si>
    <t>Andres Veski, Kenneth Muusikus, Svetlana Veski</t>
  </si>
  <si>
    <t>Henri Mitt, Karla Purgats, Urmas Jõeäär</t>
  </si>
  <si>
    <t>Brigitta Neiland, Einar Juhkam, Johannes Neiland, Väino Aul</t>
  </si>
  <si>
    <t>VOKA PLIKS-PLAKS</t>
  </si>
  <si>
    <t>Toimumisaeg: P, 08.10.2017 kell 11:00</t>
  </si>
  <si>
    <t>punkt</t>
  </si>
  <si>
    <t>Toimumiskoht: Voka staadion</t>
  </si>
  <si>
    <t>Korraldaja: Johannes Neiland</t>
  </si>
  <si>
    <t>Vilma Neiland</t>
  </si>
  <si>
    <t>Omavahel</t>
  </si>
  <si>
    <t>Naiste arvestus</t>
  </si>
  <si>
    <t>Juunioride arvestus</t>
  </si>
  <si>
    <t>Kohalike arvestus</t>
  </si>
  <si>
    <t xml:space="preserve">10. Baltic Cup 1. etapp, </t>
  </si>
  <si>
    <t>Kermo Vinkler</t>
  </si>
  <si>
    <t>Henry Vinkler</t>
  </si>
  <si>
    <t>Pirita, Tallinn</t>
  </si>
  <si>
    <t>Plussring</t>
  </si>
  <si>
    <t>II</t>
  </si>
  <si>
    <t>Miinusring</t>
  </si>
  <si>
    <t>AA</t>
  </si>
  <si>
    <t xml:space="preserve">III </t>
  </si>
  <si>
    <t>BB</t>
  </si>
  <si>
    <t>13 - 16 koht</t>
  </si>
  <si>
    <t>18. koht</t>
  </si>
  <si>
    <t>Paremusjärjestus</t>
  </si>
  <si>
    <t>Naiste paremusjärjestus:</t>
  </si>
  <si>
    <t>Kohalike paremusjärjestus:</t>
  </si>
  <si>
    <t>finaal</t>
  </si>
  <si>
    <r>
      <t xml:space="preserve">II </t>
    </r>
    <r>
      <rPr>
        <b/>
        <sz val="10"/>
        <color theme="9" tint="-0.249977111117893"/>
        <rFont val="Arial"/>
        <family val="2"/>
        <charset val="186"/>
      </rPr>
      <t>/ 146</t>
    </r>
  </si>
  <si>
    <t>toimub lisamäng</t>
  </si>
  <si>
    <t>IV</t>
  </si>
  <si>
    <t>17 - 24 koht</t>
  </si>
  <si>
    <t>kui see on mängija esimene</t>
  </si>
  <si>
    <t>kaotus sellele vastasele,</t>
  </si>
  <si>
    <t>Juuniorite paremusjärjestus:</t>
  </si>
  <si>
    <t>19. koht</t>
  </si>
  <si>
    <t>20. koht</t>
  </si>
  <si>
    <t>21. koht</t>
  </si>
  <si>
    <t>22. koht</t>
  </si>
  <si>
    <t>23. koht</t>
  </si>
  <si>
    <t>24. koht</t>
  </si>
  <si>
    <t>III</t>
  </si>
  <si>
    <t>25 - 32 koht</t>
  </si>
  <si>
    <t>25. koht</t>
  </si>
  <si>
    <t>26. koht</t>
  </si>
  <si>
    <t>27. koht</t>
  </si>
  <si>
    <t>28. koht</t>
  </si>
  <si>
    <t>29. koht</t>
  </si>
  <si>
    <t>30. koht</t>
  </si>
  <si>
    <t>31. koht</t>
  </si>
  <si>
    <t>32. koht</t>
  </si>
  <si>
    <t>Ljudmila Varedi</t>
  </si>
  <si>
    <t>LjudmilaVarendi</t>
  </si>
  <si>
    <t>?</t>
  </si>
  <si>
    <t>II / 146</t>
  </si>
  <si>
    <t>43. Eesti omavalitsus-</t>
  </si>
  <si>
    <t>registr.Omaval.Suvemängud</t>
  </si>
  <si>
    <t>Boriss Klubov, Mait Metsla</t>
  </si>
  <si>
    <t>Aleksander Korikov, Väino Aul</t>
  </si>
  <si>
    <t>Jaan Sepp, Melika Lehtla</t>
  </si>
  <si>
    <t>Brigitta Neiland, Johannes Neiland</t>
  </si>
  <si>
    <r>
      <t>Koht</t>
    </r>
    <r>
      <rPr>
        <sz val="10"/>
        <color indexed="8"/>
        <rFont val="Arial"/>
        <family val="2"/>
        <charset val="186"/>
      </rPr>
      <t>/edasi</t>
    </r>
  </si>
  <si>
    <t>Kenneth Muusikus, Meelis Luud, Urmas Randlaine</t>
  </si>
  <si>
    <t>Aarne Välja, Andrei Grintšak</t>
  </si>
  <si>
    <t>Dima Korovin, Valeri Korovin</t>
  </si>
  <si>
    <t>K1</t>
  </si>
  <si>
    <t>K2</t>
  </si>
  <si>
    <t>K3</t>
  </si>
  <si>
    <t>Dima Korovin</t>
  </si>
  <si>
    <t>Valeri Korovin</t>
  </si>
  <si>
    <t>Johannes Neiland, Boriss Klubov</t>
  </si>
  <si>
    <t>Mait Metsla, Enn Tokman</t>
  </si>
  <si>
    <t>Andrei Grintšak, Emil Murzajev</t>
  </si>
  <si>
    <r>
      <t>10 - 12 koht</t>
    </r>
    <r>
      <rPr>
        <u/>
        <sz val="10"/>
        <color theme="1"/>
        <rFont val="Arial"/>
        <family val="2"/>
        <charset val="186"/>
      </rPr>
      <t xml:space="preserve"> (alagruppide neljandad)</t>
    </r>
  </si>
  <si>
    <r>
      <t>7 - 9 koht</t>
    </r>
    <r>
      <rPr>
        <u/>
        <sz val="10"/>
        <color theme="1"/>
        <rFont val="Arial"/>
        <family val="2"/>
        <charset val="186"/>
      </rPr>
      <t xml:space="preserve"> (alagruppide kolmandad)</t>
    </r>
  </si>
  <si>
    <t>ESL</t>
  </si>
  <si>
    <t xml:space="preserve">registr. ESL </t>
  </si>
  <si>
    <t>Puulide mängud kestsid 50 minutit + 1 snadivise</t>
  </si>
  <si>
    <t>Jaan Sepp, Mait Metsla, Oskar Sepp</t>
  </si>
  <si>
    <t>Enn Tokman, Tõnu Kapper, Vladimir Ogneštšikov</t>
  </si>
  <si>
    <t>Johannes Neiland, Oksana Sažina, Oleg Rõndenkov, Ülo Piik</t>
  </si>
  <si>
    <t>Ivar Viljaste, Matti Vinni, Sirje Viljaste</t>
  </si>
  <si>
    <t>Argo Sepp, Karla Purgats, Lemmit Toomra</t>
  </si>
  <si>
    <t>Kenneth Muusikus, Urmas Randlaine, Urmas Jõeäär</t>
  </si>
  <si>
    <r>
      <t>1 - 4 koht</t>
    </r>
    <r>
      <rPr>
        <sz val="10"/>
        <color theme="1"/>
        <rFont val="Arial"/>
        <family val="2"/>
        <charset val="186"/>
      </rPr>
      <t xml:space="preserve"> (puulide esimesed ja teised)</t>
    </r>
  </si>
  <si>
    <r>
      <t>5 - 8 koht</t>
    </r>
    <r>
      <rPr>
        <u/>
        <sz val="10"/>
        <color theme="1"/>
        <rFont val="Arial"/>
        <family val="2"/>
        <charset val="186"/>
      </rPr>
      <t xml:space="preserve"> (puulide kolmandad ja neljandad)</t>
    </r>
  </si>
  <si>
    <t>Kenneth Muusikus, Meelis Luud</t>
  </si>
  <si>
    <t>Margus Vasser, Vello Vasser</t>
  </si>
  <si>
    <t>Mait Metsla, Vladimir Ogneštšikov</t>
  </si>
  <si>
    <t>Andrei Grintšak, Jaan Saar</t>
  </si>
  <si>
    <t>Tõnis Neiland</t>
  </si>
  <si>
    <t>karikas, DUO</t>
  </si>
  <si>
    <r>
      <t>9 - 16 koht</t>
    </r>
    <r>
      <rPr>
        <sz val="10"/>
        <color theme="1"/>
        <rFont val="Arial"/>
        <family val="2"/>
        <charset val="186"/>
      </rPr>
      <t xml:space="preserve"> (alagruppide kolmandad ja neljandad)</t>
    </r>
  </si>
  <si>
    <t>Rein Allikas, Urmas Jõeäär</t>
  </si>
  <si>
    <t>Meelis Luud, Tarmo Bombe</t>
  </si>
  <si>
    <t>Kenneth Muusikus, Urmas Randlaine</t>
  </si>
  <si>
    <t>Andrei Grintšak, Johannes Neiland</t>
  </si>
  <si>
    <t>Rein Allikas</t>
  </si>
  <si>
    <t>Karoliina Sild, Tõnis Neiland</t>
  </si>
  <si>
    <t>Karoliina Sild</t>
  </si>
  <si>
    <t>K, 15.08.2018</t>
  </si>
  <si>
    <t>P, 02.09.2018</t>
  </si>
  <si>
    <t>Einar Juhkam, Jaan Sepp</t>
  </si>
  <si>
    <t>Oksana Sažina, Ülo Piik</t>
  </si>
  <si>
    <t>Ronald Jõeäär, Urmas Jõeäär</t>
  </si>
  <si>
    <t>Merilin Neiland</t>
  </si>
  <si>
    <t>Ronald Jõeäär</t>
  </si>
  <si>
    <t>52:13</t>
  </si>
  <si>
    <t>11:9</t>
  </si>
  <si>
    <t>39:39</t>
  </si>
  <si>
    <t>13:7</t>
  </si>
  <si>
    <t>10:8</t>
  </si>
  <si>
    <t>47:31</t>
  </si>
  <si>
    <t>12:13</t>
  </si>
  <si>
    <t>6:13</t>
  </si>
  <si>
    <t>44:49</t>
  </si>
  <si>
    <t>8:10</t>
  </si>
  <si>
    <t>36:29</t>
  </si>
  <si>
    <t>9:11</t>
  </si>
  <si>
    <t>37:38</t>
  </si>
  <si>
    <t>7:13</t>
  </si>
  <si>
    <t>26:47</t>
  </si>
  <si>
    <t>17:52</t>
  </si>
  <si>
    <t>Janek Tarto, Kristo Viljaste</t>
  </si>
  <si>
    <t>Andrei Grintšak, Boriss Klubov</t>
  </si>
  <si>
    <t>Suhe</t>
  </si>
  <si>
    <t>Eelvoorud šveitsi süsteemis</t>
  </si>
  <si>
    <t>P, 26.08.2018</t>
  </si>
  <si>
    <t>E, 20.08.2018</t>
  </si>
  <si>
    <r>
      <t>17 - 20 koht</t>
    </r>
    <r>
      <rPr>
        <u/>
        <sz val="10"/>
        <color theme="1"/>
        <rFont val="Arial"/>
        <family val="2"/>
        <charset val="186"/>
      </rPr>
      <t xml:space="preserve"> (alagruppide viiendad)</t>
    </r>
  </si>
  <si>
    <t>K4</t>
  </si>
  <si>
    <t>Dmitri Kurajev</t>
  </si>
  <si>
    <t>A5</t>
  </si>
  <si>
    <t>B5</t>
  </si>
  <si>
    <t>Johannes Neiland, Kenneth Muusikus</t>
  </si>
  <si>
    <t>Oleg Rõndenkov, Urmas Jõeäär</t>
  </si>
  <si>
    <t>Boriss Klubov, Dmitri Kurajev</t>
  </si>
  <si>
    <r>
      <t>9 - 10 koht</t>
    </r>
    <r>
      <rPr>
        <sz val="10"/>
        <color theme="1"/>
        <rFont val="Arial"/>
        <family val="2"/>
        <charset val="186"/>
      </rPr>
      <t xml:space="preserve"> (alagruppide viiendad)</t>
    </r>
  </si>
  <si>
    <t>v</t>
  </si>
  <si>
    <t>L, 15.09.2018</t>
  </si>
  <si>
    <t>Voka 5. KV superfinaal</t>
  </si>
  <si>
    <t>P, 23.09.2018</t>
  </si>
  <si>
    <t>Boriss Klubov, Tõnu Kapper</t>
  </si>
  <si>
    <t>Enn Tokman, Johannes Neiland</t>
  </si>
  <si>
    <t>Toomas Tedrekull, Urmas Randlaine</t>
  </si>
  <si>
    <t>Henri Mitt, Melika Lehtla</t>
  </si>
  <si>
    <t>Heino Reakainen, Jaanus Klement, Kuldar Kivestu</t>
  </si>
  <si>
    <t>Heino Reakainen</t>
  </si>
  <si>
    <t>Jaanus Klement</t>
  </si>
  <si>
    <t>Kuldar Kivestu</t>
  </si>
  <si>
    <t>51. ESL Spordimängud</t>
  </si>
  <si>
    <t>Illar Tõnurist, Jaan Saar, Tarmo Bombe</t>
  </si>
  <si>
    <t xml:space="preserve">Saku Fun, </t>
  </si>
  <si>
    <t>Elmo Lageda, Johannes Neiland</t>
  </si>
  <si>
    <t>Tõnu Piik, Ülo Piik</t>
  </si>
  <si>
    <t>Andrei Grintšak, Illar Tõnurist</t>
  </si>
  <si>
    <t>Andres Veski, Karla Purgats</t>
  </si>
  <si>
    <t>Elmo Lageda, Tõnu Piik, Ülo Piik</t>
  </si>
  <si>
    <t>Ivar Viljaste, Kristo Viljaste, Matti Vinni</t>
  </si>
  <si>
    <t>Boriss Klubov, Emil Murzajev, Lemmit Toomra</t>
  </si>
  <si>
    <t>1 - 5 koht</t>
  </si>
  <si>
    <t>Paremusjärjestus selgitatakse igal etapil eraldi ja ka koondarvestuses, mille alusel saab paigutuse superfinaalis. Igal etapil saab esikoht punkte vastavalt osavõtvate paaride arvule. Iga järgnev koht 1 punkti võrra vähem. Superfinaali paigutamisel arvestatakse kõiki kogutud punkte. Kui ühel etapil saavad kaks või rohkem võistkondi võrdselt võite, siis arvestatakse omavahelisi mänge. Nende võrdsuse korral omavahelistes mängudes kogutud punkte.</t>
  </si>
  <si>
    <t>Seisuga 18.09.2018</t>
  </si>
  <si>
    <t>L, 29.09.2018</t>
  </si>
  <si>
    <t>Toila vald</t>
  </si>
  <si>
    <t>Viru SK</t>
  </si>
  <si>
    <t>Toila v.</t>
  </si>
  <si>
    <t>edasi 3</t>
  </si>
  <si>
    <t>Omavah</t>
  </si>
  <si>
    <t>P, 30.09.2018</t>
  </si>
  <si>
    <t>Voka asetusvõistlus</t>
  </si>
  <si>
    <t>Elfriide Kelder</t>
  </si>
  <si>
    <t>Vanus</t>
  </si>
  <si>
    <t>Hillar Neiland</t>
  </si>
  <si>
    <t>1. vise</t>
  </si>
  <si>
    <t>2. vise</t>
  </si>
  <si>
    <t>3. vise</t>
  </si>
  <si>
    <t>Kristlin Mark</t>
  </si>
  <si>
    <t>Annaliset Neiland</t>
  </si>
  <si>
    <t>Annika Neiland</t>
  </si>
  <si>
    <t>Maire Aul</t>
  </si>
  <si>
    <t>Anne Jundas</t>
  </si>
  <si>
    <t>Sander Aul</t>
  </si>
  <si>
    <t>Gerda Sokk</t>
  </si>
  <si>
    <t>Rauno Sandre</t>
  </si>
  <si>
    <t>Sten Eelsaar</t>
  </si>
  <si>
    <t>Gregor Sandre</t>
  </si>
  <si>
    <t>Saskia Viktoria Eelsaare</t>
  </si>
  <si>
    <t>Kevin Sandre</t>
  </si>
  <si>
    <t>Aleksandra Sandre</t>
  </si>
  <si>
    <t>Anneli Õunpuu</t>
  </si>
  <si>
    <t>Meelis Lud</t>
  </si>
  <si>
    <t>Hendrik Rego</t>
  </si>
  <si>
    <t>Joel Aaron Reiska</t>
  </si>
  <si>
    <t>Kärt Reiska</t>
  </si>
  <si>
    <t>Miia-Marta Otto</t>
  </si>
  <si>
    <t>Siim Otto</t>
  </si>
  <si>
    <t>Riina Varinurm</t>
  </si>
  <si>
    <t>Kristel Mark</t>
  </si>
  <si>
    <t>Marek Mark</t>
  </si>
  <si>
    <t>Marko Sandre</t>
  </si>
  <si>
    <t>Ravel Leisalu</t>
  </si>
  <si>
    <t>Mirtel Otto</t>
  </si>
  <si>
    <t>cm</t>
  </si>
  <si>
    <t xml:space="preserve">Kuni kümneaastastel asus snadi viskeringist </t>
  </si>
  <si>
    <t>4 meetri kaugusel, ülejäänutel 7 meetri kaugusel</t>
  </si>
  <si>
    <t>11. Juunioride EM, TRIO,TUL</t>
  </si>
  <si>
    <t>Toila</t>
  </si>
  <si>
    <t>Rasvases trükis on Toila valla elanikud</t>
  </si>
  <si>
    <r>
      <rPr>
        <b/>
        <sz val="8"/>
        <color theme="1"/>
        <rFont val="Arial"/>
        <family val="2"/>
        <charset val="186"/>
      </rPr>
      <t xml:space="preserve">5.Viru karikas, </t>
    </r>
    <r>
      <rPr>
        <b/>
        <sz val="10"/>
        <color theme="1"/>
        <rFont val="Arial"/>
        <family val="2"/>
        <charset val="186"/>
      </rPr>
      <t>DUO</t>
    </r>
  </si>
  <si>
    <r>
      <t xml:space="preserve">DUO  </t>
    </r>
    <r>
      <rPr>
        <sz val="8"/>
        <color theme="1"/>
        <rFont val="Arial"/>
        <family val="2"/>
        <charset val="186"/>
      </rPr>
      <t>(17:30)</t>
    </r>
  </si>
  <si>
    <r>
      <t xml:space="preserve">TRIO  </t>
    </r>
    <r>
      <rPr>
        <sz val="8"/>
        <color theme="1"/>
        <rFont val="Arial"/>
        <family val="2"/>
        <charset val="186"/>
      </rPr>
      <t>(17:30)</t>
    </r>
  </si>
  <si>
    <t>Jrk</t>
  </si>
  <si>
    <t xml:space="preserve">Kui kahel või enamal mängijal on võrdselt punkte, siis saab parema koha see, kellel on rohkem võite. </t>
  </si>
  <si>
    <t xml:space="preserve">Kui ka võitude arv on võrdne, siis vaadatakse nende mängijate omavaheliste mängude suhet. </t>
  </si>
  <si>
    <t xml:space="preserve">Kui omavahel mängiti viiki, toimub nende vahel kordusmäng. </t>
  </si>
  <si>
    <t>vaba voor</t>
  </si>
  <si>
    <t>6. voor</t>
  </si>
  <si>
    <t>Buch</t>
  </si>
  <si>
    <t>Brigitta Neiland, Johannes Neiland, Merilin Neiland</t>
  </si>
  <si>
    <t>kehvim Trio</t>
  </si>
  <si>
    <t>kehvim Duo</t>
  </si>
  <si>
    <t>kehvim Üksik</t>
  </si>
  <si>
    <t>2. kehvim Üksik</t>
  </si>
  <si>
    <t xml:space="preserve">Rasvases trükis on aasta uustulnuka tiitli kandidaadid (mängijad, kes pole kolmel eelmisel </t>
  </si>
  <si>
    <t>aastal mahtunud reitingus 30 parema hulka)</t>
  </si>
  <si>
    <t>Kaldkirjas on teiste maakondade mängijad</t>
  </si>
  <si>
    <t>Andrei Grintšak, Argo Sepp</t>
  </si>
  <si>
    <t>loobumine</t>
  </si>
  <si>
    <t>Võistlused toimuvad Voka spordihoone ümbruses, Metsa tn 2 17.06.2018 algusega kell 11.00.</t>
  </si>
  <si>
    <t>Osalema lubatakse kõik huvilised.</t>
  </si>
  <si>
    <t>Tervisliku seisundi eest vastutab sportlane ise.</t>
  </si>
  <si>
    <t>Võistlused toimuvad 2 miinuse süsteemis (täisvariant).</t>
  </si>
  <si>
    <t>Välja mängitakse kõik kohad. Mäng algab seisult 1:1 ja kestab 13 punktini.</t>
  </si>
  <si>
    <t>Üldkokkuvõttes 6 parimat autasustatakse karikaga, 3 parimat noort (kuni 16a) medaliga, 3 parimat naist ja 3 parimat valla mängijat (karikad, eriauhinnad)!</t>
  </si>
  <si>
    <t>Osalustasu mängija kohta 2 € (tasutakse kohapeal).</t>
  </si>
  <si>
    <t>Võistlustele saab eelregistreeruda:</t>
  </si>
  <si>
    <t xml:space="preserve"> - Võistluste eesmärgiks on välja selgitada parimad petankerid muruväljakutel.</t>
  </si>
  <si>
    <t xml:space="preserve"> - Spordiharrastuse aktiviseerimine läbi petangi mängimise.</t>
  </si>
  <si>
    <t xml:space="preserve"> - Peakorraldaja on Toila Valla spordi - ja kultuurikeskus koos Viru SK-ga.</t>
  </si>
  <si>
    <t xml:space="preserve"> - tel 5622 8909 (Juhan Neiland)</t>
  </si>
  <si>
    <t xml:space="preserve"> - email viruspordiklubi@gmail.com</t>
  </si>
  <si>
    <t>17. VOKA MURUTURNIIR</t>
  </si>
  <si>
    <t>6. Autasustamine</t>
  </si>
  <si>
    <t>7. Majandamine</t>
  </si>
  <si>
    <t>8. Registreerimine</t>
  </si>
  <si>
    <t>9. Üleskerkinud küsimuste lahendamine</t>
  </si>
  <si>
    <t>57. Mondial la Marseillaise à Pétanque 01.-05.07.2018</t>
  </si>
  <si>
    <t>Viru</t>
  </si>
  <si>
    <t>Kenneth Muusikus, Peep Peenema, Urmas Randlaine</t>
  </si>
  <si>
    <t>Peep Peenema, Urmas Jõeäär</t>
  </si>
  <si>
    <t>Melika Lehtla, Peep Peenema</t>
  </si>
  <si>
    <t>Kenneth Muusikus, Peep Peenema</t>
  </si>
  <si>
    <t>Peep Peenema</t>
  </si>
  <si>
    <t>Peep Peenema, Tõnu Kapper, Vladimir Ogneštšikov</t>
  </si>
  <si>
    <t>EESTI JA IDA-VIRUMAA PETANGIKALENDER 2018</t>
  </si>
  <si>
    <r>
      <rPr>
        <sz val="9"/>
        <color theme="1"/>
        <rFont val="Arial"/>
        <family val="2"/>
        <charset val="186"/>
      </rPr>
      <t xml:space="preserve">(17.muruturniir), </t>
    </r>
    <r>
      <rPr>
        <sz val="10"/>
        <color theme="1"/>
        <rFont val="Arial"/>
        <family val="2"/>
        <charset val="186"/>
      </rPr>
      <t>ÜKSIK</t>
    </r>
  </si>
  <si>
    <t>(kõik kõigiga), ÜKSIK</t>
  </si>
  <si>
    <t>K-Järve 17. KV 1. etapp</t>
  </si>
  <si>
    <t>K-Järve 17. KV 2. etapp</t>
  </si>
  <si>
    <t>K-Järve 17. KV 3. etapp</t>
  </si>
  <si>
    <t xml:space="preserve">2018 aasta uustulnukaks ei saa kandideerida: </t>
  </si>
  <si>
    <t>8. U23 (mehed, naised) EM, TRIO, TUL</t>
  </si>
  <si>
    <t>5. Warriors Cup, DUO</t>
  </si>
  <si>
    <t>9 - 11 koht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</si>
</sst>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quot; €&quot;"/>
    <numFmt numFmtId="166" formatCode="#,##0\ [$€-1]"/>
    <numFmt numFmtId="167" formatCode="\+0;\-0;0"/>
  </numFmts>
  <fonts count="79" x14ac:knownFonts="1">
    <font>
      <sz val="10"/>
      <color theme="1"/>
      <name val="Arial"/>
      <family val="2"/>
      <charset val="186"/>
    </font>
    <font>
      <sz val="10"/>
      <color theme="1"/>
      <name val="Arial"/>
      <family val="2"/>
      <charset val="186"/>
    </font>
    <font>
      <b/>
      <sz val="10"/>
      <color theme="0"/>
      <name val="Arial"/>
      <family val="2"/>
      <charset val="186"/>
    </font>
    <font>
      <sz val="10"/>
      <color rgb="FFFF0000"/>
      <name val="Arial"/>
      <family val="2"/>
      <charset val="186"/>
    </font>
    <font>
      <b/>
      <sz val="10"/>
      <color theme="1"/>
      <name val="Arial"/>
      <family val="2"/>
      <charset val="186"/>
    </font>
    <font>
      <sz val="11"/>
      <color theme="1"/>
      <name val="Calibri"/>
      <family val="2"/>
      <charset val="186"/>
      <scheme val="minor"/>
    </font>
    <font>
      <sz val="10"/>
      <color rgb="FF000000"/>
      <name val="Times New Roman"/>
      <family val="1"/>
      <charset val="186"/>
    </font>
    <font>
      <u/>
      <sz val="10"/>
      <color theme="10"/>
      <name val="Arial"/>
      <family val="2"/>
      <charset val="186"/>
    </font>
    <font>
      <u/>
      <sz val="10"/>
      <color theme="1"/>
      <name val="Arial"/>
      <family val="2"/>
      <charset val="186"/>
    </font>
    <font>
      <u/>
      <sz val="11"/>
      <color theme="10"/>
      <name val="Calibri"/>
      <family val="2"/>
      <charset val="186"/>
      <scheme val="minor"/>
    </font>
    <font>
      <b/>
      <sz val="10"/>
      <color indexed="8"/>
      <name val="Arial"/>
      <family val="2"/>
      <charset val="186"/>
    </font>
    <font>
      <sz val="10"/>
      <name val="Arial"/>
      <family val="2"/>
      <charset val="204"/>
    </font>
    <font>
      <b/>
      <sz val="8"/>
      <color indexed="81"/>
      <name val="Tahoma"/>
      <family val="2"/>
      <charset val="186"/>
    </font>
    <font>
      <u/>
      <sz val="10"/>
      <color theme="10"/>
      <name val="Times New Roman"/>
      <family val="1"/>
      <charset val="186"/>
    </font>
    <font>
      <sz val="10"/>
      <color rgb="FF000000"/>
      <name val="Arial"/>
      <family val="2"/>
      <charset val="186"/>
    </font>
    <font>
      <sz val="10"/>
      <color indexed="8"/>
      <name val="Times New Roman"/>
      <family val="1"/>
      <charset val="186"/>
    </font>
    <font>
      <sz val="10"/>
      <name val="Arial"/>
      <family val="2"/>
      <charset val="186"/>
    </font>
    <font>
      <sz val="11"/>
      <color theme="1"/>
      <name val="Calibri"/>
      <family val="2"/>
      <scheme val="minor"/>
    </font>
    <font>
      <sz val="11"/>
      <color indexed="8"/>
      <name val="Calibri"/>
      <family val="2"/>
      <charset val="186"/>
    </font>
    <font>
      <sz val="11"/>
      <color rgb="FF000000"/>
      <name val="Calibri"/>
      <family val="2"/>
      <scheme val="minor"/>
    </font>
    <font>
      <sz val="8"/>
      <color indexed="8"/>
      <name val="Arial Narrow"/>
      <family val="2"/>
    </font>
    <font>
      <i/>
      <sz val="10"/>
      <color theme="8" tint="0.39997558519241921"/>
      <name val="Arial"/>
      <family val="2"/>
      <charset val="186"/>
    </font>
    <font>
      <i/>
      <u/>
      <sz val="10"/>
      <color theme="8" tint="0.39997558519241921"/>
      <name val="Arial"/>
      <family val="2"/>
      <charset val="186"/>
    </font>
    <font>
      <i/>
      <sz val="10"/>
      <color theme="1"/>
      <name val="Arial"/>
      <family val="2"/>
      <charset val="186"/>
    </font>
    <font>
      <i/>
      <u/>
      <sz val="10"/>
      <color rgb="FF0000FF"/>
      <name val="Arial"/>
      <family val="2"/>
      <charset val="186"/>
    </font>
    <font>
      <b/>
      <sz val="10"/>
      <name val="Arial"/>
      <family val="2"/>
      <charset val="186"/>
    </font>
    <font>
      <b/>
      <i/>
      <sz val="10"/>
      <color theme="8" tint="0.39997558519241921"/>
      <name val="Arial"/>
      <family val="2"/>
      <charset val="186"/>
    </font>
    <font>
      <sz val="10"/>
      <color theme="0" tint="-0.34998626667073579"/>
      <name val="Arial"/>
      <family val="2"/>
      <charset val="186"/>
    </font>
    <font>
      <b/>
      <sz val="10"/>
      <color rgb="FFCC0000"/>
      <name val="Arial"/>
      <family val="2"/>
      <charset val="186"/>
    </font>
    <font>
      <b/>
      <sz val="10"/>
      <color rgb="FF00B050"/>
      <name val="Arial"/>
      <family val="2"/>
      <charset val="186"/>
    </font>
    <font>
      <b/>
      <sz val="10"/>
      <color theme="1"/>
      <name val="Calibri"/>
      <family val="2"/>
      <charset val="186"/>
      <scheme val="minor"/>
    </font>
    <font>
      <sz val="10"/>
      <color rgb="FFCC0000"/>
      <name val="Arial"/>
      <family val="2"/>
      <charset val="186"/>
    </font>
    <font>
      <sz val="10"/>
      <color rgb="FF00B050"/>
      <name val="Arial"/>
      <family val="2"/>
      <charset val="186"/>
    </font>
    <font>
      <b/>
      <u/>
      <sz val="10"/>
      <color theme="1"/>
      <name val="Arial"/>
      <family val="2"/>
      <charset val="186"/>
    </font>
    <font>
      <b/>
      <sz val="10"/>
      <color rgb="FF0070C0"/>
      <name val="Arial"/>
      <family val="2"/>
      <charset val="186"/>
    </font>
    <font>
      <sz val="10"/>
      <color rgb="FF0070C0"/>
      <name val="Arial"/>
      <family val="2"/>
      <charset val="186"/>
    </font>
    <font>
      <u/>
      <sz val="10"/>
      <color rgb="FF0000FF"/>
      <name val="Arial"/>
      <family val="2"/>
      <charset val="186"/>
    </font>
    <font>
      <sz val="10"/>
      <color theme="4" tint="0.39997558519241921"/>
      <name val="Arial"/>
      <family val="2"/>
      <charset val="186"/>
    </font>
    <font>
      <sz val="10"/>
      <color theme="0"/>
      <name val="Arial"/>
      <family val="2"/>
      <charset val="186"/>
    </font>
    <font>
      <b/>
      <sz val="9"/>
      <color theme="1"/>
      <name val="Arial"/>
      <family val="2"/>
      <charset val="186"/>
    </font>
    <font>
      <b/>
      <sz val="9"/>
      <color rgb="FFCC0000"/>
      <name val="Arial"/>
      <family val="2"/>
      <charset val="186"/>
    </font>
    <font>
      <sz val="10"/>
      <color theme="0" tint="-0.14999847407452621"/>
      <name val="Arial"/>
      <family val="2"/>
      <charset val="186"/>
    </font>
    <font>
      <b/>
      <sz val="10"/>
      <color theme="0" tint="-0.34998626667073579"/>
      <name val="Arial"/>
      <family val="2"/>
      <charset val="186"/>
    </font>
    <font>
      <b/>
      <u/>
      <sz val="10"/>
      <color theme="10"/>
      <name val="Arial"/>
      <family val="2"/>
      <charset val="186"/>
    </font>
    <font>
      <sz val="10"/>
      <color rgb="FF0000FF"/>
      <name val="Arial"/>
      <family val="2"/>
      <charset val="186"/>
    </font>
    <font>
      <b/>
      <sz val="8"/>
      <color rgb="FF00B0F0"/>
      <name val="Arial"/>
      <family val="2"/>
      <charset val="186"/>
    </font>
    <font>
      <b/>
      <sz val="10"/>
      <color rgb="FF00B0F0"/>
      <name val="Arial"/>
      <family val="2"/>
      <charset val="186"/>
    </font>
    <font>
      <sz val="10"/>
      <color rgb="FF00B0F0"/>
      <name val="Arial"/>
      <family val="2"/>
      <charset val="186"/>
    </font>
    <font>
      <b/>
      <sz val="8"/>
      <color indexed="10"/>
      <name val="Tahoma"/>
      <family val="2"/>
      <charset val="186"/>
    </font>
    <font>
      <sz val="10"/>
      <color theme="5" tint="0.39997558519241921"/>
      <name val="Arial"/>
      <family val="2"/>
      <charset val="186"/>
    </font>
    <font>
      <i/>
      <u/>
      <sz val="8"/>
      <color theme="8" tint="0.39997558519241921"/>
      <name val="Arial"/>
      <family val="2"/>
      <charset val="186"/>
    </font>
    <font>
      <sz val="8"/>
      <color theme="5" tint="0.39997558519241921"/>
      <name val="Arial"/>
      <family val="2"/>
      <charset val="186"/>
    </font>
    <font>
      <sz val="10"/>
      <color theme="0" tint="-0.499984740745262"/>
      <name val="Arial"/>
      <family val="2"/>
      <charset val="186"/>
    </font>
    <font>
      <b/>
      <sz val="10"/>
      <color rgb="FFFF0000"/>
      <name val="Arial"/>
      <family val="2"/>
      <charset val="186"/>
    </font>
    <font>
      <sz val="10"/>
      <color theme="0" tint="-0.249977111117893"/>
      <name val="Arial"/>
      <family val="2"/>
      <charset val="186"/>
    </font>
    <font>
      <b/>
      <sz val="10"/>
      <color rgb="FF000000"/>
      <name val="Arial"/>
      <family val="2"/>
      <charset val="186"/>
    </font>
    <font>
      <u/>
      <sz val="10"/>
      <color theme="8" tint="0.39997558519241921"/>
      <name val="Arial"/>
      <family val="2"/>
      <charset val="186"/>
    </font>
    <font>
      <strike/>
      <u/>
      <sz val="10"/>
      <color theme="0"/>
      <name val="Arial"/>
      <family val="2"/>
      <charset val="186"/>
    </font>
    <font>
      <i/>
      <sz val="10"/>
      <name val="Arial"/>
      <family val="2"/>
      <charset val="186"/>
    </font>
    <font>
      <b/>
      <u/>
      <sz val="10"/>
      <name val="Arial"/>
      <family val="2"/>
      <charset val="186"/>
    </font>
    <font>
      <b/>
      <sz val="10"/>
      <color theme="9" tint="-0.249977111117893"/>
      <name val="Arial"/>
      <family val="2"/>
      <charset val="186"/>
    </font>
    <font>
      <sz val="10"/>
      <color theme="9" tint="-0.249977111117893"/>
      <name val="Arial"/>
      <family val="2"/>
      <charset val="186"/>
    </font>
    <font>
      <b/>
      <u/>
      <sz val="10"/>
      <color rgb="FF0070C0"/>
      <name val="Arial"/>
      <family val="2"/>
      <charset val="186"/>
    </font>
    <font>
      <sz val="10"/>
      <color indexed="8"/>
      <name val="Arial"/>
      <family val="2"/>
      <charset val="186"/>
    </font>
    <font>
      <strike/>
      <u/>
      <sz val="10"/>
      <color theme="1"/>
      <name val="Arial"/>
      <family val="2"/>
      <charset val="186"/>
    </font>
    <font>
      <i/>
      <sz val="10"/>
      <color theme="0" tint="-0.499984740745262"/>
      <name val="Arial"/>
      <family val="2"/>
      <charset val="186"/>
    </font>
    <font>
      <i/>
      <u/>
      <sz val="10"/>
      <color theme="0" tint="-0.499984740745262"/>
      <name val="Arial"/>
      <family val="2"/>
      <charset val="186"/>
    </font>
    <font>
      <b/>
      <sz val="8"/>
      <color indexed="57"/>
      <name val="Tahoma"/>
      <family val="2"/>
      <charset val="186"/>
    </font>
    <font>
      <sz val="8"/>
      <color theme="1"/>
      <name val="Arial"/>
      <family val="2"/>
      <charset val="186"/>
    </font>
    <font>
      <b/>
      <sz val="8"/>
      <color theme="1"/>
      <name val="Arial"/>
      <family val="2"/>
      <charset val="186"/>
    </font>
    <font>
      <sz val="10"/>
      <color rgb="FF92D050"/>
      <name val="Arial"/>
      <family val="2"/>
      <charset val="186"/>
    </font>
    <font>
      <b/>
      <sz val="10"/>
      <color rgb="FF99FF99"/>
      <name val="Arial"/>
      <family val="2"/>
      <charset val="186"/>
    </font>
    <font>
      <u/>
      <sz val="10"/>
      <color rgb="FF92D050"/>
      <name val="Arial"/>
      <family val="2"/>
      <charset val="186"/>
    </font>
    <font>
      <sz val="10"/>
      <color theme="8" tint="0.39997558519241921"/>
      <name val="Arial"/>
      <family val="2"/>
      <charset val="186"/>
    </font>
    <font>
      <strike/>
      <sz val="10"/>
      <color theme="1"/>
      <name val="Arial"/>
      <family val="2"/>
      <charset val="186"/>
    </font>
    <font>
      <i/>
      <u/>
      <sz val="10"/>
      <color theme="1"/>
      <name val="Arial"/>
      <family val="2"/>
      <charset val="186"/>
    </font>
    <font>
      <b/>
      <u/>
      <sz val="9"/>
      <color theme="1"/>
      <name val="Arial"/>
      <family val="2"/>
      <charset val="186"/>
    </font>
    <font>
      <b/>
      <sz val="10"/>
      <color rgb="FF92D050"/>
      <name val="Arial"/>
      <family val="2"/>
      <charset val="186"/>
    </font>
    <font>
      <sz val="9"/>
      <color theme="1"/>
      <name val="Arial"/>
      <family val="2"/>
      <charset val="186"/>
    </font>
  </fonts>
  <fills count="38">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CCCC"/>
        <bgColor indexed="64"/>
      </patternFill>
    </fill>
    <fill>
      <patternFill patternType="solid">
        <fgColor rgb="FFCCFFCC"/>
        <bgColor indexed="64"/>
      </patternFill>
    </fill>
    <fill>
      <patternFill patternType="solid">
        <fgColor rgb="FFD9D9D9"/>
        <bgColor indexed="64"/>
      </patternFill>
    </fill>
    <fill>
      <patternFill patternType="solid">
        <fgColor rgb="FFFFFF99"/>
        <bgColor indexed="64"/>
      </patternFill>
    </fill>
    <fill>
      <patternFill patternType="solid">
        <fgColor rgb="FFFFCC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CC"/>
        <bgColor indexed="64"/>
      </patternFill>
    </fill>
    <fill>
      <patternFill patternType="solid">
        <fgColor rgb="FF92D050"/>
        <bgColor indexed="64"/>
      </patternFill>
    </fill>
    <fill>
      <patternFill patternType="solid">
        <fgColor rgb="FF99FF99"/>
        <bgColor indexed="64"/>
      </patternFill>
    </fill>
    <fill>
      <patternFill patternType="solid">
        <fgColor rgb="FF009999"/>
        <bgColor indexed="64"/>
      </patternFill>
    </fill>
    <fill>
      <patternFill patternType="solid">
        <fgColor indexed="6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EFFFE8"/>
        <bgColor indexed="64"/>
      </patternFill>
    </fill>
    <fill>
      <patternFill patternType="solid">
        <fgColor rgb="FFFFEFE8"/>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66FF66"/>
        <bgColor indexed="64"/>
      </patternFill>
    </fill>
    <fill>
      <patternFill patternType="solid">
        <fgColor theme="6" tint="0.79998168889431442"/>
        <bgColor indexed="64"/>
      </patternFill>
    </fill>
  </fills>
  <borders count="144">
    <border>
      <left/>
      <right/>
      <top/>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medium">
        <color rgb="FF000000"/>
      </left>
      <right/>
      <top/>
      <bottom style="dashDot">
        <color rgb="FF000000"/>
      </bottom>
      <diagonal/>
    </border>
    <border>
      <left style="thin">
        <color theme="0" tint="-0.24994659260841701"/>
      </left>
      <right/>
      <top/>
      <bottom style="thin">
        <color theme="0" tint="-0.24994659260841701"/>
      </bottom>
      <diagonal/>
    </border>
    <border>
      <left/>
      <right style="thin">
        <color rgb="FF000000"/>
      </right>
      <top/>
      <bottom/>
      <diagonal/>
    </border>
    <border>
      <left style="thin">
        <color theme="0" tint="-0.24994659260841701"/>
      </left>
      <right style="thin">
        <color rgb="FF000000"/>
      </right>
      <top/>
      <bottom style="thin">
        <color theme="0" tint="-0.24994659260841701"/>
      </bottom>
      <diagonal/>
    </border>
    <border>
      <left/>
      <right style="thin">
        <color rgb="FF000000"/>
      </right>
      <top/>
      <bottom style="dashDot">
        <color rgb="FF000000"/>
      </bottom>
      <diagonal/>
    </border>
    <border>
      <left/>
      <right/>
      <top/>
      <bottom style="dashDot">
        <color rgb="FF000000"/>
      </bottom>
      <diagonal/>
    </border>
    <border>
      <left/>
      <right/>
      <top style="dashDot">
        <color rgb="FF000000"/>
      </top>
      <bottom/>
      <diagonal/>
    </border>
    <border>
      <left/>
      <right/>
      <top style="dashDot">
        <color rgb="FF000000"/>
      </top>
      <bottom style="thin">
        <color theme="8" tint="0.39994506668294322"/>
      </bottom>
      <diagonal/>
    </border>
    <border>
      <left/>
      <right/>
      <top/>
      <bottom style="dashDot">
        <color auto="1"/>
      </bottom>
      <diagonal/>
    </border>
    <border>
      <left/>
      <right/>
      <top style="dashDot">
        <color auto="1"/>
      </top>
      <bottom style="thin">
        <color theme="8" tint="0.39994506668294322"/>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theme="0" tint="-0.24994659260841701"/>
      </left>
      <right style="medium">
        <color rgb="FF000000"/>
      </right>
      <top style="medium">
        <color rgb="FF000000"/>
      </top>
      <bottom style="thin">
        <color theme="0" tint="-0.24994659260841701"/>
      </bottom>
      <diagonal/>
    </border>
    <border>
      <left/>
      <right/>
      <top style="medium">
        <color rgb="FF000000"/>
      </top>
      <bottom/>
      <diagonal/>
    </border>
    <border>
      <left style="thin">
        <color theme="0" tint="-0.24994659260841701"/>
      </left>
      <right style="thin">
        <color rgb="FF000000"/>
      </right>
      <top style="medium">
        <color rgb="FF000000"/>
      </top>
      <bottom style="thin">
        <color theme="0" tint="-0.24994659260841701"/>
      </bottom>
      <diagonal/>
    </border>
    <border>
      <left style="thin">
        <color theme="0" tint="-0.24994659260841701"/>
      </left>
      <right/>
      <top style="medium">
        <color rgb="FF000000"/>
      </top>
      <bottom style="thin">
        <color theme="0" tint="-0.24994659260841701"/>
      </bottom>
      <diagonal/>
    </border>
    <border>
      <left/>
      <right style="medium">
        <color rgb="FF000000"/>
      </right>
      <top/>
      <bottom style="dashDot">
        <color rgb="FF000000"/>
      </bottom>
      <diagonal/>
    </border>
    <border>
      <left/>
      <right style="medium">
        <color rgb="FF000000"/>
      </right>
      <top style="dashDot">
        <color rgb="FF000000"/>
      </top>
      <bottom/>
      <diagonal/>
    </border>
    <border>
      <left style="thin">
        <color theme="0" tint="-0.24994659260841701"/>
      </left>
      <right style="medium">
        <color rgb="FF000000"/>
      </right>
      <top/>
      <bottom style="thin">
        <color theme="0" tint="-0.24994659260841701"/>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theme="0" tint="-0.24994659260841701"/>
      </top>
      <bottom/>
      <diagonal/>
    </border>
    <border>
      <left style="medium">
        <color rgb="FF000000"/>
      </left>
      <right/>
      <top style="dashDot">
        <color rgb="FF000000"/>
      </top>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medium">
        <color rgb="FF000000"/>
      </bottom>
      <diagonal/>
    </border>
    <border>
      <left/>
      <right style="medium">
        <color rgb="FF000000"/>
      </right>
      <top style="dashDot">
        <color rgb="FF000000"/>
      </top>
      <bottom style="thin">
        <color theme="8" tint="0.39994506668294322"/>
      </bottom>
      <diagonal/>
    </border>
    <border>
      <left style="thick">
        <color rgb="FF000000"/>
      </left>
      <right/>
      <top/>
      <bottom style="dashDot">
        <color rgb="FF000000"/>
      </bottom>
      <diagonal/>
    </border>
    <border>
      <left/>
      <right/>
      <top style="thin">
        <color theme="8" tint="0.39994506668294322"/>
      </top>
      <bottom style="medium">
        <color rgb="FF000000"/>
      </bottom>
      <diagonal/>
    </border>
    <border>
      <left/>
      <right style="medium">
        <color rgb="FF000000"/>
      </right>
      <top style="thin">
        <color theme="8" tint="0.39994506668294322"/>
      </top>
      <bottom style="medium">
        <color rgb="FF000000"/>
      </bottom>
      <diagonal/>
    </border>
    <border>
      <left style="medium">
        <color rgb="FF000000"/>
      </left>
      <right/>
      <top style="dashDot">
        <color rgb="FF000000"/>
      </top>
      <bottom style="medium">
        <color rgb="FF000000"/>
      </bottom>
      <diagonal/>
    </border>
    <border>
      <left/>
      <right/>
      <top style="dashDot">
        <color rgb="FF000000"/>
      </top>
      <bottom style="medium">
        <color rgb="FF000000"/>
      </bottom>
      <diagonal/>
    </border>
    <border>
      <left style="medium">
        <color rgb="FF000000"/>
      </left>
      <right/>
      <top style="dashDot">
        <color rgb="FF000000"/>
      </top>
      <bottom style="thin">
        <color theme="8" tint="0.39994506668294322"/>
      </bottom>
      <diagonal/>
    </border>
    <border>
      <left style="medium">
        <color rgb="FF000000"/>
      </left>
      <right style="thin">
        <color theme="0" tint="-0.24994659260841701"/>
      </right>
      <top/>
      <bottom/>
      <diagonal/>
    </border>
    <border>
      <left style="thick">
        <color rgb="FF000000"/>
      </left>
      <right style="thin">
        <color theme="0" tint="-0.24994659260841701"/>
      </right>
      <top style="medium">
        <color rgb="FF000000"/>
      </top>
      <bottom/>
      <diagonal/>
    </border>
    <border>
      <left/>
      <right style="medium">
        <color rgb="FF000000"/>
      </right>
      <top style="dashDot">
        <color auto="1"/>
      </top>
      <bottom style="thin">
        <color theme="8" tint="0.39994506668294322"/>
      </bottom>
      <diagonal/>
    </border>
    <border>
      <left style="medium">
        <color rgb="FF000000"/>
      </left>
      <right/>
      <top/>
      <bottom style="dashDot">
        <color auto="1"/>
      </bottom>
      <diagonal/>
    </border>
    <border>
      <left style="medium">
        <color rgb="FF000000"/>
      </left>
      <right/>
      <top style="dashDot">
        <color auto="1"/>
      </top>
      <bottom style="thin">
        <color theme="8" tint="0.39994506668294322"/>
      </bottom>
      <diagonal/>
    </border>
    <border>
      <left style="medium">
        <color rgb="FF000000"/>
      </left>
      <right/>
      <top style="thin">
        <color theme="8" tint="0.39994506668294322"/>
      </top>
      <bottom style="medium">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theme="0" tint="-0.24994659260841701"/>
      </left>
      <right style="thick">
        <color rgb="FF000000"/>
      </right>
      <top style="medium">
        <color rgb="FF000000"/>
      </top>
      <bottom style="thin">
        <color theme="0" tint="-0.24994659260841701"/>
      </bottom>
      <diagonal/>
    </border>
    <border>
      <left/>
      <right style="thick">
        <color rgb="FF000000"/>
      </right>
      <top/>
      <bottom/>
      <diagonal/>
    </border>
    <border>
      <left/>
      <right style="medium">
        <color theme="1"/>
      </right>
      <top style="thin">
        <color theme="0" tint="-0.24994659260841701"/>
      </top>
      <bottom/>
      <diagonal/>
    </border>
    <border>
      <left/>
      <right style="medium">
        <color theme="1"/>
      </right>
      <top/>
      <bottom/>
      <diagonal/>
    </border>
    <border>
      <left/>
      <right style="medium">
        <color rgb="FF000000"/>
      </right>
      <top style="thin">
        <color rgb="FF000000"/>
      </top>
      <bottom/>
      <diagonal/>
    </border>
    <border>
      <left/>
      <right style="medium">
        <color auto="1"/>
      </right>
      <top/>
      <bottom style="medium">
        <color auto="1"/>
      </bottom>
      <diagonal/>
    </border>
    <border>
      <left/>
      <right style="thick">
        <color rgb="FF000000"/>
      </right>
      <top/>
      <bottom style="medium">
        <color rgb="FF000000"/>
      </bottom>
      <diagonal/>
    </border>
    <border>
      <left style="medium">
        <color indexed="8"/>
      </left>
      <right/>
      <top style="medium">
        <color indexed="8"/>
      </top>
      <bottom/>
      <diagonal/>
    </border>
    <border>
      <left/>
      <right style="medium">
        <color indexed="8"/>
      </right>
      <top/>
      <bottom/>
      <diagonal/>
    </border>
    <border>
      <left style="medium">
        <color indexed="8"/>
      </left>
      <right/>
      <top/>
      <bottom/>
      <diagonal/>
    </border>
    <border>
      <left style="medium">
        <color rgb="FF000000"/>
      </left>
      <right/>
      <top style="thick">
        <color rgb="FF000000"/>
      </top>
      <bottom/>
      <diagonal/>
    </border>
    <border>
      <left style="thin">
        <color theme="0" tint="-0.24994659260841701"/>
      </left>
      <right/>
      <top style="thick">
        <color rgb="FF000000"/>
      </top>
      <bottom style="thin">
        <color theme="0" tint="-0.24994659260841701"/>
      </bottom>
      <diagonal/>
    </border>
    <border>
      <left style="thin">
        <color theme="0" tint="-0.24994659260841701"/>
      </left>
      <right style="medium">
        <color rgb="FF000000"/>
      </right>
      <top style="thick">
        <color rgb="FF000000"/>
      </top>
      <bottom style="thin">
        <color theme="0" tint="-0.24994659260841701"/>
      </bottom>
      <diagonal/>
    </border>
    <border>
      <left style="thin">
        <color indexed="64"/>
      </left>
      <right style="thin">
        <color indexed="64"/>
      </right>
      <top/>
      <bottom/>
      <diagonal/>
    </border>
    <border>
      <left/>
      <right/>
      <top style="thin">
        <color auto="1"/>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auto="1"/>
      </top>
      <bottom/>
      <diagonal/>
    </border>
    <border>
      <left/>
      <right/>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dashed">
        <color theme="9" tint="-0.24994659260841701"/>
      </right>
      <top/>
      <bottom/>
      <diagonal/>
    </border>
    <border>
      <left/>
      <right style="dashed">
        <color theme="9" tint="-0.24994659260841701"/>
      </right>
      <top/>
      <bottom style="dashed">
        <color theme="9" tint="-0.24994659260841701"/>
      </bottom>
      <diagonal/>
    </border>
    <border>
      <left style="medium">
        <color indexed="64"/>
      </left>
      <right/>
      <top style="thin">
        <color indexed="64"/>
      </top>
      <bottom style="thin">
        <color indexed="64"/>
      </bottom>
      <diagonal/>
    </border>
    <border>
      <left style="thin">
        <color indexed="8"/>
      </left>
      <right style="thin">
        <color indexed="8"/>
      </right>
      <top style="thin">
        <color indexed="8"/>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ck">
        <color rgb="FF000000"/>
      </left>
      <right/>
      <top style="dashDot">
        <color rgb="FF000000"/>
      </top>
      <bottom style="medium">
        <color rgb="FF000000"/>
      </bottom>
      <diagonal/>
    </border>
    <border>
      <left/>
      <right style="medium">
        <color auto="1"/>
      </right>
      <top/>
      <bottom/>
      <diagonal/>
    </border>
    <border>
      <left/>
      <right/>
      <top/>
      <bottom style="thin">
        <color theme="8" tint="0.399945066682943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rgb="FF000000"/>
      </left>
      <right/>
      <top/>
      <bottom style="medium">
        <color auto="1"/>
      </bottom>
      <diagonal/>
    </border>
    <border>
      <left/>
      <right style="medium">
        <color auto="1"/>
      </right>
      <top style="dashDot">
        <color rgb="FF000000"/>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medium">
        <color theme="1"/>
      </right>
      <top/>
      <bottom style="medium">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34">
    <xf numFmtId="0" fontId="0" fillId="0" borderId="0"/>
    <xf numFmtId="0" fontId="5" fillId="0" borderId="0"/>
    <xf numFmtId="0" fontId="6" fillId="0" borderId="0"/>
    <xf numFmtId="0" fontId="7" fillId="0" borderId="0" applyNumberFormat="0" applyFill="0" applyBorder="0" applyAlignment="0" applyProtection="0"/>
    <xf numFmtId="0" fontId="9" fillId="0" borderId="0" applyNumberFormat="0" applyFill="0" applyBorder="0" applyAlignment="0" applyProtection="0"/>
    <xf numFmtId="0" fontId="11" fillId="0" borderId="0"/>
    <xf numFmtId="0" fontId="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 fillId="0" borderId="0"/>
    <xf numFmtId="0" fontId="11" fillId="0" borderId="0"/>
    <xf numFmtId="0" fontId="6" fillId="0" borderId="0"/>
    <xf numFmtId="0" fontId="14" fillId="0" borderId="0"/>
    <xf numFmtId="0" fontId="15" fillId="0" borderId="0"/>
    <xf numFmtId="0" fontId="5" fillId="0" borderId="0"/>
    <xf numFmtId="0" fontId="16" fillId="0" borderId="0"/>
    <xf numFmtId="0" fontId="16" fillId="0" borderId="0"/>
    <xf numFmtId="0" fontId="17" fillId="0" borderId="0"/>
    <xf numFmtId="0" fontId="6" fillId="0" borderId="0"/>
    <xf numFmtId="0" fontId="5" fillId="0" borderId="0"/>
    <xf numFmtId="0" fontId="18" fillId="0" borderId="0"/>
    <xf numFmtId="0" fontId="18" fillId="0" borderId="0"/>
    <xf numFmtId="0" fontId="19" fillId="0" borderId="0"/>
    <xf numFmtId="0" fontId="16" fillId="0" borderId="0"/>
    <xf numFmtId="0" fontId="5" fillId="0" borderId="0"/>
    <xf numFmtId="0" fontId="1" fillId="0" borderId="0"/>
    <xf numFmtId="49" fontId="20" fillId="9" borderId="0" applyBorder="0" applyProtection="0">
      <alignment horizontal="left" vertical="top" wrapText="1"/>
    </xf>
    <xf numFmtId="0" fontId="18" fillId="0" borderId="0"/>
    <xf numFmtId="0" fontId="11" fillId="0" borderId="0"/>
    <xf numFmtId="0" fontId="18" fillId="0" borderId="0"/>
    <xf numFmtId="0" fontId="6" fillId="0" borderId="0"/>
    <xf numFmtId="0" fontId="18" fillId="0" borderId="0"/>
    <xf numFmtId="0" fontId="18" fillId="0" borderId="0"/>
    <xf numFmtId="0" fontId="15" fillId="0" borderId="0"/>
  </cellStyleXfs>
  <cellXfs count="1410">
    <xf numFmtId="0" fontId="0" fillId="0" borderId="0" xfId="0"/>
    <xf numFmtId="0" fontId="4" fillId="0" borderId="0" xfId="1" applyFont="1" applyAlignment="1"/>
    <xf numFmtId="0" fontId="1" fillId="0" borderId="0" xfId="1" applyFont="1" applyAlignment="1"/>
    <xf numFmtId="0" fontId="1" fillId="0" borderId="0" xfId="1" applyFont="1" applyAlignment="1">
      <alignment vertical="top"/>
    </xf>
    <xf numFmtId="0" fontId="4" fillId="3" borderId="0" xfId="1" quotePrefix="1" applyNumberFormat="1" applyFont="1" applyFill="1" applyAlignment="1"/>
    <xf numFmtId="0" fontId="1" fillId="0" borderId="0" xfId="1" applyFont="1" applyFill="1" applyBorder="1" applyAlignment="1"/>
    <xf numFmtId="0" fontId="4" fillId="0" borderId="0" xfId="1" applyFont="1" applyFill="1" applyBorder="1" applyAlignment="1"/>
    <xf numFmtId="0" fontId="4" fillId="0" borderId="0" xfId="1" applyFont="1" applyAlignment="1">
      <alignment vertical="top"/>
    </xf>
    <xf numFmtId="0" fontId="4" fillId="3" borderId="0" xfId="1" applyFont="1" applyFill="1" applyBorder="1" applyAlignment="1"/>
    <xf numFmtId="0" fontId="1" fillId="0" borderId="0" xfId="1" applyFont="1" applyFill="1" applyAlignment="1"/>
    <xf numFmtId="0" fontId="4" fillId="0" borderId="0" xfId="1" applyFont="1" applyFill="1" applyAlignment="1">
      <alignment vertical="top"/>
    </xf>
    <xf numFmtId="0" fontId="4" fillId="0" borderId="0" xfId="1" applyFont="1" applyBorder="1" applyAlignment="1"/>
    <xf numFmtId="0" fontId="1" fillId="0" borderId="0" xfId="1" applyFont="1" applyBorder="1" applyAlignment="1"/>
    <xf numFmtId="0" fontId="10" fillId="6" borderId="0" xfId="0" applyFont="1" applyFill="1"/>
    <xf numFmtId="0" fontId="4" fillId="6" borderId="0" xfId="1" applyFont="1" applyFill="1" applyAlignment="1"/>
    <xf numFmtId="0" fontId="1" fillId="6" borderId="0" xfId="1" applyFont="1" applyFill="1" applyAlignment="1"/>
    <xf numFmtId="0" fontId="4" fillId="6" borderId="0" xfId="5" applyFont="1" applyFill="1" applyBorder="1" applyAlignment="1"/>
    <xf numFmtId="0" fontId="1" fillId="7" borderId="0" xfId="1" applyFont="1" applyFill="1" applyAlignment="1"/>
    <xf numFmtId="0" fontId="4" fillId="7" borderId="0" xfId="1" applyFont="1" applyFill="1" applyAlignment="1"/>
    <xf numFmtId="0" fontId="1" fillId="8" borderId="0" xfId="1" applyFont="1" applyFill="1" applyAlignment="1"/>
    <xf numFmtId="0" fontId="1" fillId="8" borderId="0" xfId="1" applyNumberFormat="1" applyFont="1" applyFill="1" applyAlignment="1"/>
    <xf numFmtId="0" fontId="4" fillId="8" borderId="0" xfId="1" applyFont="1" applyFill="1" applyAlignment="1"/>
    <xf numFmtId="0" fontId="1" fillId="0" borderId="0" xfId="1" applyFont="1" applyFill="1" applyAlignment="1">
      <alignment vertical="top"/>
    </xf>
    <xf numFmtId="0" fontId="4" fillId="0" borderId="0" xfId="1" applyFont="1" applyFill="1" applyAlignment="1"/>
    <xf numFmtId="0" fontId="3" fillId="0" borderId="0" xfId="1" applyFont="1" applyFill="1" applyAlignment="1"/>
    <xf numFmtId="0" fontId="0" fillId="7" borderId="0" xfId="1" applyFont="1" applyFill="1" applyAlignment="1"/>
    <xf numFmtId="0" fontId="0" fillId="8" borderId="0" xfId="1" applyFont="1" applyFill="1" applyAlignment="1"/>
    <xf numFmtId="0" fontId="21" fillId="0" borderId="0" xfId="1" applyFont="1" applyFill="1" applyAlignment="1">
      <alignment horizontal="right"/>
    </xf>
    <xf numFmtId="0" fontId="7" fillId="0" borderId="0" xfId="3" applyAlignment="1"/>
    <xf numFmtId="164" fontId="4" fillId="0" borderId="3" xfId="9" applyNumberFormat="1" applyFont="1" applyFill="1" applyBorder="1" applyAlignment="1">
      <alignment horizontal="center"/>
    </xf>
    <xf numFmtId="0" fontId="1" fillId="0" borderId="3" xfId="5" applyFont="1" applyFill="1" applyBorder="1" applyAlignment="1"/>
    <xf numFmtId="0" fontId="4" fillId="0" borderId="0" xfId="1" applyFont="1"/>
    <xf numFmtId="0" fontId="1" fillId="0" borderId="0" xfId="1" applyFont="1"/>
    <xf numFmtId="0" fontId="16" fillId="0" borderId="3" xfId="1" applyFont="1" applyBorder="1"/>
    <xf numFmtId="0" fontId="1" fillId="0" borderId="0" xfId="1" applyFont="1" applyFill="1"/>
    <xf numFmtId="0" fontId="0" fillId="0" borderId="0" xfId="0" applyFont="1"/>
    <xf numFmtId="0" fontId="0" fillId="0" borderId="3" xfId="0" applyFont="1" applyBorder="1" applyAlignment="1">
      <alignment horizontal="center"/>
    </xf>
    <xf numFmtId="0" fontId="0" fillId="0" borderId="3" xfId="0" applyFont="1" applyBorder="1"/>
    <xf numFmtId="0" fontId="0" fillId="0" borderId="3" xfId="0" applyFont="1" applyFill="1" applyBorder="1"/>
    <xf numFmtId="0" fontId="0" fillId="13" borderId="3" xfId="0" applyFont="1" applyFill="1" applyBorder="1" applyAlignment="1">
      <alignment horizontal="center"/>
    </xf>
    <xf numFmtId="0" fontId="0" fillId="0" borderId="3" xfId="0" applyFont="1" applyFill="1" applyBorder="1" applyAlignment="1">
      <alignment horizontal="center"/>
    </xf>
    <xf numFmtId="0" fontId="4" fillId="0" borderId="3" xfId="0" applyNumberFormat="1" applyFont="1" applyFill="1" applyBorder="1" applyAlignment="1">
      <alignment horizontal="center"/>
    </xf>
    <xf numFmtId="0" fontId="1" fillId="0" borderId="0" xfId="1" applyFont="1" applyBorder="1"/>
    <xf numFmtId="0" fontId="1" fillId="0" borderId="0" xfId="1" applyFont="1" applyAlignment="1">
      <alignment vertical="top"/>
    </xf>
    <xf numFmtId="0" fontId="1" fillId="3" borderId="0" xfId="1" applyFont="1" applyFill="1" applyBorder="1" applyAlignment="1"/>
    <xf numFmtId="0" fontId="4" fillId="3" borderId="0" xfId="1" applyFont="1" applyFill="1" applyBorder="1" applyAlignment="1"/>
    <xf numFmtId="0" fontId="4" fillId="3" borderId="0" xfId="1" quotePrefix="1" applyNumberFormat="1" applyFont="1" applyFill="1" applyBorder="1" applyAlignment="1"/>
    <xf numFmtId="0" fontId="2" fillId="13" borderId="3" xfId="0" applyFont="1" applyFill="1" applyBorder="1" applyAlignment="1">
      <alignment horizontal="center"/>
    </xf>
    <xf numFmtId="0" fontId="2" fillId="13" borderId="3" xfId="0" applyFont="1" applyFill="1" applyBorder="1"/>
    <xf numFmtId="0" fontId="0" fillId="0" borderId="0" xfId="1" applyFont="1" applyAlignment="1">
      <alignment vertical="top"/>
    </xf>
    <xf numFmtId="0" fontId="1" fillId="0" borderId="0" xfId="1" applyFont="1" applyAlignment="1">
      <alignment vertical="top"/>
    </xf>
    <xf numFmtId="0" fontId="4" fillId="0" borderId="0" xfId="1" applyFont="1" applyAlignment="1">
      <alignment vertical="top"/>
    </xf>
    <xf numFmtId="0" fontId="4" fillId="0" borderId="0" xfId="1" applyFont="1" applyFill="1" applyBorder="1" applyAlignment="1"/>
    <xf numFmtId="0" fontId="1" fillId="0" borderId="0" xfId="1" applyFont="1" applyFill="1" applyBorder="1" applyAlignment="1"/>
    <xf numFmtId="0" fontId="7" fillId="0" borderId="0" xfId="3" applyFill="1" applyAlignment="1">
      <alignment vertical="top"/>
    </xf>
    <xf numFmtId="0" fontId="1" fillId="0" borderId="0" xfId="19" applyFont="1"/>
    <xf numFmtId="0" fontId="23" fillId="0" borderId="0" xfId="1" applyFont="1" applyAlignment="1">
      <alignment horizontal="right"/>
    </xf>
    <xf numFmtId="0" fontId="1" fillId="0" borderId="8" xfId="16" applyFont="1" applyBorder="1" applyAlignment="1"/>
    <xf numFmtId="0" fontId="4" fillId="0" borderId="8" xfId="16" applyFont="1" applyBorder="1" applyAlignment="1">
      <alignment horizontal="center"/>
    </xf>
    <xf numFmtId="0" fontId="1" fillId="0" borderId="9" xfId="16" applyFont="1" applyBorder="1" applyAlignment="1"/>
    <xf numFmtId="0" fontId="1" fillId="0" borderId="10" xfId="16" applyFont="1" applyBorder="1" applyAlignment="1"/>
    <xf numFmtId="0" fontId="1" fillId="0" borderId="11" xfId="16" applyFont="1" applyBorder="1" applyAlignment="1"/>
    <xf numFmtId="0" fontId="1" fillId="0" borderId="8" xfId="16" applyFont="1" applyFill="1" applyBorder="1" applyAlignment="1"/>
    <xf numFmtId="0" fontId="1" fillId="0" borderId="0" xfId="16" applyFont="1"/>
    <xf numFmtId="0" fontId="4" fillId="0" borderId="10" xfId="10" applyFont="1" applyBorder="1" applyAlignment="1">
      <alignment horizontal="center"/>
    </xf>
    <xf numFmtId="0" fontId="4" fillId="0" borderId="12" xfId="10" applyFont="1" applyBorder="1" applyAlignment="1">
      <alignment horizontal="center"/>
    </xf>
    <xf numFmtId="0" fontId="4" fillId="0" borderId="13" xfId="10" applyFont="1" applyBorder="1" applyAlignment="1">
      <alignment horizontal="center"/>
    </xf>
    <xf numFmtId="0" fontId="4" fillId="0" borderId="14" xfId="10" applyFont="1" applyBorder="1" applyAlignment="1">
      <alignment horizontal="center"/>
    </xf>
    <xf numFmtId="0" fontId="4" fillId="0" borderId="8" xfId="10" applyFont="1" applyFill="1" applyBorder="1" applyAlignment="1">
      <alignment horizontal="center"/>
    </xf>
    <xf numFmtId="0" fontId="4" fillId="0" borderId="0" xfId="10" applyFont="1" applyAlignment="1">
      <alignment vertical="center"/>
    </xf>
    <xf numFmtId="0" fontId="4" fillId="0" borderId="16" xfId="10" applyFont="1" applyBorder="1" applyAlignment="1"/>
    <xf numFmtId="0" fontId="1" fillId="0" borderId="16" xfId="10" applyFont="1" applyBorder="1" applyAlignment="1">
      <alignment horizontal="center"/>
    </xf>
    <xf numFmtId="0" fontId="1" fillId="0" borderId="17" xfId="10" applyFont="1" applyBorder="1" applyAlignment="1">
      <alignment horizontal="center"/>
    </xf>
    <xf numFmtId="0" fontId="1" fillId="0" borderId="18" xfId="10" applyFont="1" applyBorder="1" applyAlignment="1">
      <alignment horizontal="center"/>
    </xf>
    <xf numFmtId="0" fontId="1" fillId="0" borderId="15" xfId="10" applyFont="1" applyFill="1" applyBorder="1" applyAlignment="1">
      <alignment horizontal="center"/>
    </xf>
    <xf numFmtId="0" fontId="1" fillId="0" borderId="19" xfId="10" applyFont="1" applyBorder="1" applyAlignment="1"/>
    <xf numFmtId="0" fontId="1" fillId="0" borderId="20" xfId="16" applyFont="1" applyFill="1" applyBorder="1" applyAlignment="1">
      <alignment horizontal="center"/>
    </xf>
    <xf numFmtId="0" fontId="1" fillId="0" borderId="3" xfId="16" applyFont="1" applyFill="1" applyBorder="1" applyAlignment="1">
      <alignment horizontal="center"/>
    </xf>
    <xf numFmtId="0" fontId="1" fillId="0" borderId="4" xfId="16" applyFont="1" applyFill="1" applyBorder="1" applyAlignment="1">
      <alignment horizontal="center"/>
    </xf>
    <xf numFmtId="0" fontId="1" fillId="0" borderId="19" xfId="16" applyFont="1" applyFill="1" applyBorder="1" applyAlignment="1">
      <alignment horizontal="center"/>
    </xf>
    <xf numFmtId="0" fontId="1" fillId="0" borderId="15" xfId="16" applyFont="1" applyBorder="1" applyAlignment="1"/>
    <xf numFmtId="0" fontId="1" fillId="0" borderId="20" xfId="10" applyFont="1" applyBorder="1" applyAlignment="1">
      <alignment horizontal="center"/>
    </xf>
    <xf numFmtId="0" fontId="1" fillId="0" borderId="3" xfId="10" applyFont="1" applyBorder="1" applyAlignment="1">
      <alignment horizontal="center"/>
    </xf>
    <xf numFmtId="0" fontId="1" fillId="0" borderId="4" xfId="10" applyFont="1" applyBorder="1" applyAlignment="1">
      <alignment horizontal="center"/>
    </xf>
    <xf numFmtId="0" fontId="1" fillId="0" borderId="25" xfId="16" applyFont="1" applyBorder="1"/>
    <xf numFmtId="0" fontId="1" fillId="2" borderId="3" xfId="16" applyFont="1" applyFill="1" applyBorder="1" applyAlignment="1">
      <alignment horizontal="center"/>
    </xf>
    <xf numFmtId="0" fontId="1" fillId="0" borderId="22" xfId="16" applyFont="1" applyFill="1" applyBorder="1" applyAlignment="1">
      <alignment horizontal="center"/>
    </xf>
    <xf numFmtId="0" fontId="1" fillId="0" borderId="23" xfId="16" applyFont="1" applyFill="1" applyBorder="1" applyAlignment="1">
      <alignment horizontal="center"/>
    </xf>
    <xf numFmtId="0" fontId="1" fillId="0" borderId="24" xfId="16" applyFont="1" applyFill="1" applyBorder="1" applyAlignment="1">
      <alignment horizontal="center"/>
    </xf>
    <xf numFmtId="0" fontId="1" fillId="0" borderId="21" xfId="16" applyFont="1" applyFill="1" applyBorder="1" applyAlignment="1">
      <alignment horizontal="center"/>
    </xf>
    <xf numFmtId="0" fontId="1" fillId="0" borderId="19" xfId="16" applyFont="1" applyBorder="1" applyAlignment="1"/>
    <xf numFmtId="0" fontId="1" fillId="0" borderId="19" xfId="10" applyFont="1" applyFill="1" applyBorder="1" applyAlignment="1">
      <alignment horizontal="center"/>
    </xf>
    <xf numFmtId="0" fontId="1" fillId="0" borderId="21" xfId="16" applyFont="1" applyBorder="1" applyAlignment="1"/>
    <xf numFmtId="0" fontId="1" fillId="0" borderId="22" xfId="10" applyFont="1" applyBorder="1" applyAlignment="1">
      <alignment horizontal="center"/>
    </xf>
    <xf numFmtId="0" fontId="1" fillId="0" borderId="23" xfId="10" applyFont="1" applyBorder="1" applyAlignment="1">
      <alignment horizontal="center"/>
    </xf>
    <xf numFmtId="0" fontId="1" fillId="0" borderId="24" xfId="10" applyFont="1" applyBorder="1" applyAlignment="1">
      <alignment horizontal="center"/>
    </xf>
    <xf numFmtId="0" fontId="1" fillId="0" borderId="21" xfId="10" applyFont="1" applyFill="1" applyBorder="1" applyAlignment="1">
      <alignment horizontal="center"/>
    </xf>
    <xf numFmtId="0" fontId="0" fillId="0" borderId="0" xfId="16" applyFont="1"/>
    <xf numFmtId="0" fontId="4" fillId="0" borderId="26" xfId="10" applyFont="1" applyBorder="1" applyAlignment="1"/>
    <xf numFmtId="0" fontId="4" fillId="0" borderId="19" xfId="10" applyFont="1" applyFill="1" applyBorder="1" applyAlignment="1">
      <alignment horizontal="center"/>
    </xf>
    <xf numFmtId="0" fontId="4" fillId="0" borderId="21" xfId="10" applyFont="1" applyFill="1" applyBorder="1" applyAlignment="1">
      <alignment horizontal="center"/>
    </xf>
    <xf numFmtId="0" fontId="1" fillId="0" borderId="0" xfId="16" applyFont="1" applyAlignment="1"/>
    <xf numFmtId="0" fontId="4" fillId="0" borderId="3" xfId="16" applyFont="1" applyBorder="1" applyAlignment="1"/>
    <xf numFmtId="0" fontId="1" fillId="2" borderId="3" xfId="16" applyFont="1" applyFill="1" applyBorder="1" applyAlignment="1"/>
    <xf numFmtId="0" fontId="1" fillId="0" borderId="3" xfId="19" applyFont="1" applyFill="1" applyBorder="1" applyAlignment="1"/>
    <xf numFmtId="0" fontId="4" fillId="10" borderId="3" xfId="19" applyFont="1" applyFill="1" applyBorder="1" applyAlignment="1"/>
    <xf numFmtId="0" fontId="8" fillId="0" borderId="1" xfId="3" applyFont="1" applyFill="1" applyBorder="1" applyAlignment="1"/>
    <xf numFmtId="0" fontId="1" fillId="0" borderId="0" xfId="1" applyFont="1" applyBorder="1" applyAlignment="1">
      <alignment vertical="top"/>
    </xf>
    <xf numFmtId="0" fontId="1" fillId="0" borderId="0" xfId="1" applyFont="1" applyFill="1" applyBorder="1" applyAlignment="1">
      <alignment vertical="top"/>
    </xf>
    <xf numFmtId="0" fontId="1" fillId="0" borderId="0" xfId="5" applyFont="1" applyFill="1" applyAlignment="1"/>
    <xf numFmtId="0" fontId="4" fillId="0" borderId="0" xfId="5" applyFont="1" applyFill="1" applyBorder="1" applyAlignment="1"/>
    <xf numFmtId="0" fontId="4" fillId="0" borderId="0" xfId="5" applyFont="1" applyFill="1" applyBorder="1" applyAlignment="1">
      <alignment horizontal="center"/>
    </xf>
    <xf numFmtId="0" fontId="1" fillId="0" borderId="0" xfId="5" applyFont="1" applyFill="1" applyBorder="1" applyAlignment="1"/>
    <xf numFmtId="0" fontId="1" fillId="0" borderId="0" xfId="5" applyFont="1" applyFill="1" applyAlignment="1">
      <alignment horizontal="center"/>
    </xf>
    <xf numFmtId="0" fontId="1" fillId="0" borderId="0" xfId="5" applyFont="1" applyFill="1" applyAlignment="1">
      <alignment horizontal="right"/>
    </xf>
    <xf numFmtId="0" fontId="1" fillId="0" borderId="0" xfId="5" applyFont="1" applyFill="1" applyAlignment="1">
      <alignment textRotation="90"/>
    </xf>
    <xf numFmtId="0" fontId="4" fillId="10" borderId="0" xfId="5" applyFont="1" applyFill="1" applyAlignment="1"/>
    <xf numFmtId="0" fontId="23" fillId="0" borderId="0" xfId="10" applyFont="1" applyFill="1" applyBorder="1" applyAlignment="1"/>
    <xf numFmtId="0" fontId="23" fillId="0" borderId="0" xfId="5" applyFont="1" applyFill="1" applyBorder="1" applyAlignment="1"/>
    <xf numFmtId="0" fontId="1" fillId="2" borderId="0" xfId="5" applyFont="1" applyFill="1" applyAlignment="1"/>
    <xf numFmtId="0" fontId="1" fillId="11" borderId="0" xfId="5" applyFont="1" applyFill="1" applyAlignment="1"/>
    <xf numFmtId="0" fontId="23" fillId="0" borderId="3" xfId="5" applyFont="1" applyFill="1" applyBorder="1" applyAlignment="1"/>
    <xf numFmtId="0" fontId="1" fillId="0" borderId="3" xfId="5" applyFont="1" applyFill="1" applyBorder="1" applyAlignment="1">
      <alignment horizontal="center" textRotation="90"/>
    </xf>
    <xf numFmtId="0" fontId="1" fillId="6" borderId="3" xfId="10" applyNumberFormat="1" applyFont="1" applyFill="1" applyBorder="1" applyAlignment="1">
      <alignment textRotation="90"/>
    </xf>
    <xf numFmtId="0" fontId="4" fillId="2" borderId="5" xfId="5" applyFont="1" applyFill="1" applyBorder="1" applyAlignment="1">
      <alignment horizontal="center"/>
    </xf>
    <xf numFmtId="0" fontId="4" fillId="0" borderId="3" xfId="5" applyFont="1" applyFill="1" applyBorder="1" applyAlignment="1">
      <alignment horizontal="center"/>
    </xf>
    <xf numFmtId="0" fontId="30" fillId="6" borderId="3" xfId="5" applyFont="1" applyFill="1" applyBorder="1" applyAlignment="1">
      <alignment horizontal="center"/>
    </xf>
    <xf numFmtId="164" fontId="27" fillId="0" borderId="3" xfId="10" applyNumberFormat="1" applyFont="1" applyFill="1" applyBorder="1" applyAlignment="1">
      <alignment horizontal="center"/>
    </xf>
    <xf numFmtId="0" fontId="1" fillId="0" borderId="3" xfId="20" applyFont="1" applyFill="1" applyBorder="1" applyAlignment="1">
      <alignment horizontal="center"/>
    </xf>
    <xf numFmtId="0" fontId="1" fillId="0" borderId="3" xfId="5" applyFont="1" applyFill="1" applyBorder="1" applyAlignment="1">
      <alignment horizontal="center"/>
    </xf>
    <xf numFmtId="164" fontId="1" fillId="0" borderId="0" xfId="5" applyNumberFormat="1" applyFont="1" applyFill="1" applyAlignment="1">
      <alignment horizontal="center"/>
    </xf>
    <xf numFmtId="164" fontId="1" fillId="0" borderId="0" xfId="5" applyNumberFormat="1" applyFont="1" applyFill="1" applyBorder="1" applyAlignment="1">
      <alignment horizontal="center"/>
    </xf>
    <xf numFmtId="0" fontId="0" fillId="0" borderId="0" xfId="5" applyFont="1" applyFill="1" applyAlignment="1"/>
    <xf numFmtId="0" fontId="1" fillId="0" borderId="3" xfId="1" applyFont="1" applyFill="1" applyBorder="1" applyAlignment="1"/>
    <xf numFmtId="0" fontId="4" fillId="0" borderId="0" xfId="5" applyFont="1" applyFill="1" applyAlignment="1">
      <alignment horizontal="center"/>
    </xf>
    <xf numFmtId="0" fontId="4" fillId="2" borderId="0" xfId="5" applyFont="1" applyFill="1" applyAlignment="1"/>
    <xf numFmtId="0" fontId="28" fillId="2" borderId="0" xfId="5" applyFont="1" applyFill="1" applyAlignment="1"/>
    <xf numFmtId="0" fontId="29" fillId="2" borderId="0" xfId="5" applyFont="1" applyFill="1" applyAlignment="1"/>
    <xf numFmtId="0" fontId="1" fillId="2" borderId="0" xfId="5" applyFont="1" applyFill="1" applyAlignment="1">
      <alignment horizontal="right"/>
    </xf>
    <xf numFmtId="0" fontId="4" fillId="2" borderId="0" xfId="5" applyFont="1" applyFill="1" applyAlignment="1">
      <alignment horizontal="center"/>
    </xf>
    <xf numFmtId="164" fontId="1" fillId="2" borderId="0" xfId="5" applyNumberFormat="1" applyFont="1" applyFill="1" applyAlignment="1">
      <alignment horizontal="center"/>
    </xf>
    <xf numFmtId="164" fontId="4" fillId="2" borderId="0" xfId="5" applyNumberFormat="1" applyFont="1" applyFill="1" applyAlignment="1"/>
    <xf numFmtId="0" fontId="1" fillId="2" borderId="0" xfId="5" applyFont="1" applyFill="1" applyAlignment="1">
      <alignment horizontal="center"/>
    </xf>
    <xf numFmtId="1" fontId="1" fillId="2" borderId="0" xfId="2" applyNumberFormat="1" applyFont="1" applyFill="1" applyBorder="1" applyAlignment="1">
      <alignment horizontal="center"/>
    </xf>
    <xf numFmtId="0" fontId="4" fillId="0" borderId="0" xfId="5" applyFont="1" applyFill="1" applyAlignment="1"/>
    <xf numFmtId="0" fontId="0" fillId="2" borderId="0" xfId="0" applyFont="1" applyFill="1"/>
    <xf numFmtId="0" fontId="1" fillId="0" borderId="3" xfId="17" applyFont="1" applyFill="1" applyBorder="1" applyAlignment="1">
      <alignment horizontal="center"/>
    </xf>
    <xf numFmtId="0" fontId="31" fillId="0" borderId="3" xfId="17" applyFont="1" applyFill="1" applyBorder="1" applyAlignment="1">
      <alignment horizontal="center"/>
    </xf>
    <xf numFmtId="0" fontId="1" fillId="8" borderId="3" xfId="17" applyFont="1" applyFill="1" applyBorder="1" applyAlignment="1">
      <alignment horizontal="center"/>
    </xf>
    <xf numFmtId="0" fontId="31" fillId="0" borderId="3" xfId="17" applyNumberFormat="1" applyFont="1" applyFill="1" applyBorder="1" applyAlignment="1">
      <alignment horizontal="center"/>
    </xf>
    <xf numFmtId="0" fontId="1" fillId="8" borderId="3" xfId="17" applyNumberFormat="1" applyFont="1" applyFill="1" applyBorder="1" applyAlignment="1">
      <alignment horizontal="center"/>
    </xf>
    <xf numFmtId="0" fontId="28" fillId="0" borderId="3" xfId="17" applyFont="1" applyFill="1" applyBorder="1" applyAlignment="1">
      <alignment horizontal="center"/>
    </xf>
    <xf numFmtId="0" fontId="27" fillId="0" borderId="3" xfId="17" applyFont="1" applyFill="1" applyBorder="1" applyAlignment="1">
      <alignment horizontal="center"/>
    </xf>
    <xf numFmtId="0" fontId="29" fillId="0" borderId="3" xfId="17" applyFont="1" applyFill="1" applyBorder="1" applyAlignment="1">
      <alignment horizontal="center"/>
    </xf>
    <xf numFmtId="0" fontId="4" fillId="0" borderId="6" xfId="5" applyFont="1" applyFill="1" applyBorder="1" applyAlignment="1">
      <alignment horizontal="center"/>
    </xf>
    <xf numFmtId="0" fontId="0" fillId="0" borderId="0" xfId="0" applyAlignment="1">
      <alignment horizontal="center"/>
    </xf>
    <xf numFmtId="0" fontId="0" fillId="0" borderId="0" xfId="0" applyAlignment="1"/>
    <xf numFmtId="0" fontId="0" fillId="10" borderId="0" xfId="0" applyFill="1"/>
    <xf numFmtId="0" fontId="1" fillId="10" borderId="3" xfId="17" applyFont="1" applyFill="1" applyBorder="1" applyAlignment="1">
      <alignment horizontal="center"/>
    </xf>
    <xf numFmtId="0" fontId="27" fillId="0" borderId="3" xfId="9" applyFont="1" applyFill="1" applyBorder="1" applyAlignment="1">
      <alignment horizontal="center"/>
    </xf>
    <xf numFmtId="0" fontId="27" fillId="0" borderId="3" xfId="9" applyFont="1" applyFill="1" applyBorder="1" applyAlignment="1"/>
    <xf numFmtId="0" fontId="1" fillId="0" borderId="3" xfId="5" applyFont="1" applyFill="1" applyBorder="1" applyAlignment="1">
      <alignment horizontal="center" wrapText="1"/>
    </xf>
    <xf numFmtId="0" fontId="0" fillId="0" borderId="3" xfId="5" applyFont="1" applyFill="1" applyBorder="1" applyAlignment="1">
      <alignment horizontal="center" wrapText="1"/>
    </xf>
    <xf numFmtId="0" fontId="0" fillId="14" borderId="3" xfId="5" applyFont="1" applyFill="1" applyBorder="1" applyAlignment="1">
      <alignment horizontal="center" wrapText="1"/>
    </xf>
    <xf numFmtId="164" fontId="27" fillId="0" borderId="3" xfId="10" applyNumberFormat="1" applyFont="1" applyFill="1" applyBorder="1" applyAlignment="1"/>
    <xf numFmtId="0" fontId="31" fillId="0" borderId="3" xfId="17" applyNumberFormat="1" applyFont="1" applyFill="1" applyBorder="1" applyAlignment="1"/>
    <xf numFmtId="0" fontId="0" fillId="8" borderId="3" xfId="17" applyFont="1" applyFill="1" applyBorder="1" applyAlignment="1">
      <alignment horizontal="center"/>
    </xf>
    <xf numFmtId="0" fontId="0" fillId="8" borderId="3" xfId="17" applyNumberFormat="1" applyFont="1" applyFill="1" applyBorder="1" applyAlignment="1">
      <alignment horizontal="center"/>
    </xf>
    <xf numFmtId="0" fontId="32" fillId="0" borderId="3" xfId="17" applyNumberFormat="1" applyFont="1" applyFill="1" applyBorder="1" applyAlignment="1"/>
    <xf numFmtId="0" fontId="4" fillId="2" borderId="0" xfId="0" applyFont="1" applyFill="1"/>
    <xf numFmtId="0" fontId="4" fillId="2" borderId="0" xfId="5" applyFont="1" applyFill="1" applyBorder="1" applyAlignment="1">
      <alignment horizontal="center"/>
    </xf>
    <xf numFmtId="0" fontId="4" fillId="2" borderId="0" xfId="5" applyFont="1" applyFill="1" applyBorder="1" applyAlignment="1"/>
    <xf numFmtId="0" fontId="1" fillId="2" borderId="5" xfId="5" applyFont="1" applyFill="1" applyBorder="1" applyAlignment="1"/>
    <xf numFmtId="0" fontId="4" fillId="2" borderId="6" xfId="5" applyFont="1" applyFill="1" applyBorder="1" applyAlignment="1">
      <alignment horizontal="right"/>
    </xf>
    <xf numFmtId="0" fontId="0" fillId="0" borderId="3" xfId="10" applyFont="1" applyFill="1" applyBorder="1" applyAlignment="1">
      <alignment textRotation="90"/>
    </xf>
    <xf numFmtId="0" fontId="1" fillId="0" borderId="3" xfId="9" applyFont="1" applyFill="1" applyBorder="1" applyAlignment="1"/>
    <xf numFmtId="0" fontId="4" fillId="0" borderId="3" xfId="1" applyFont="1" applyFill="1" applyBorder="1" applyAlignment="1"/>
    <xf numFmtId="0" fontId="0" fillId="0" borderId="3" xfId="9" applyFont="1" applyFill="1" applyBorder="1" applyAlignment="1"/>
    <xf numFmtId="0" fontId="31" fillId="0" borderId="3" xfId="9" applyFont="1" applyFill="1" applyBorder="1" applyAlignment="1"/>
    <xf numFmtId="0" fontId="4" fillId="0" borderId="3" xfId="9" applyFont="1" applyFill="1" applyBorder="1" applyAlignment="1"/>
    <xf numFmtId="0" fontId="0" fillId="0" borderId="3" xfId="1" applyFont="1" applyFill="1" applyBorder="1" applyAlignment="1"/>
    <xf numFmtId="0" fontId="0" fillId="8" borderId="3" xfId="5" applyFont="1" applyFill="1" applyBorder="1" applyAlignment="1">
      <alignment horizontal="center" wrapText="1"/>
    </xf>
    <xf numFmtId="0" fontId="4" fillId="0" borderId="3" xfId="9" applyFont="1" applyBorder="1" applyAlignment="1"/>
    <xf numFmtId="0" fontId="0" fillId="0" borderId="3" xfId="5" applyFont="1" applyFill="1" applyBorder="1" applyAlignment="1"/>
    <xf numFmtId="0" fontId="3" fillId="0" borderId="0" xfId="17" applyFont="1" applyBorder="1" applyAlignment="1">
      <alignment horizontal="center"/>
    </xf>
    <xf numFmtId="0" fontId="23" fillId="0" borderId="0" xfId="1" applyFont="1" applyAlignment="1"/>
    <xf numFmtId="0" fontId="4" fillId="0" borderId="3" xfId="1" applyFont="1" applyBorder="1" applyAlignment="1"/>
    <xf numFmtId="0" fontId="0" fillId="2" borderId="3" xfId="1" applyFont="1" applyFill="1" applyBorder="1" applyAlignment="1"/>
    <xf numFmtId="0" fontId="0" fillId="0" borderId="0" xfId="1" applyFont="1"/>
    <xf numFmtId="0" fontId="1" fillId="8" borderId="0" xfId="1" applyFont="1" applyFill="1" applyBorder="1" applyAlignment="1"/>
    <xf numFmtId="0" fontId="1" fillId="0" borderId="0" xfId="10" applyFont="1" applyFill="1" applyAlignment="1">
      <alignment horizontal="center"/>
    </xf>
    <xf numFmtId="0" fontId="4" fillId="0" borderId="0" xfId="21" applyFont="1" applyBorder="1" applyAlignment="1"/>
    <xf numFmtId="0" fontId="1" fillId="0" borderId="0" xfId="10" applyFont="1" applyFill="1" applyAlignment="1"/>
    <xf numFmtId="0" fontId="4" fillId="10" borderId="0" xfId="10" applyFont="1" applyFill="1" applyAlignment="1"/>
    <xf numFmtId="0" fontId="4" fillId="0" borderId="0" xfId="10" applyFont="1" applyFill="1" applyAlignment="1"/>
    <xf numFmtId="0" fontId="23" fillId="0" borderId="0" xfId="1" applyNumberFormat="1" applyFont="1" applyBorder="1" applyAlignment="1"/>
    <xf numFmtId="0" fontId="1" fillId="2" borderId="0" xfId="10" applyFont="1" applyFill="1" applyAlignment="1"/>
    <xf numFmtId="0" fontId="1" fillId="11" borderId="0" xfId="10" applyFont="1" applyFill="1" applyAlignment="1"/>
    <xf numFmtId="0" fontId="0" fillId="0" borderId="7" xfId="10" applyFont="1" applyBorder="1" applyAlignment="1">
      <alignment horizontal="center"/>
    </xf>
    <xf numFmtId="0" fontId="1" fillId="0" borderId="7" xfId="10" applyFont="1" applyFill="1" applyBorder="1" applyAlignment="1">
      <alignment horizontal="center"/>
    </xf>
    <xf numFmtId="0" fontId="1" fillId="8" borderId="7" xfId="4" applyNumberFormat="1" applyFont="1" applyFill="1" applyBorder="1" applyAlignment="1" applyProtection="1">
      <alignment horizontal="center" vertical="center" textRotation="90"/>
    </xf>
    <xf numFmtId="0" fontId="40" fillId="8" borderId="7" xfId="4" applyNumberFormat="1" applyFont="1" applyFill="1" applyBorder="1" applyAlignment="1" applyProtection="1">
      <alignment horizontal="center" vertical="center" wrapText="1"/>
    </xf>
    <xf numFmtId="0" fontId="1" fillId="0" borderId="0" xfId="10" applyFont="1" applyFill="1" applyBorder="1" applyAlignment="1">
      <alignment textRotation="90"/>
    </xf>
    <xf numFmtId="0" fontId="1" fillId="2" borderId="29" xfId="10" applyFont="1" applyFill="1" applyBorder="1" applyAlignment="1">
      <alignment horizontal="center"/>
    </xf>
    <xf numFmtId="0" fontId="4" fillId="2" borderId="7" xfId="10" applyFont="1" applyFill="1" applyBorder="1" applyAlignment="1">
      <alignment horizontal="center"/>
    </xf>
    <xf numFmtId="0" fontId="7" fillId="8" borderId="7" xfId="3" applyFill="1" applyBorder="1" applyAlignment="1">
      <alignment horizontal="center"/>
    </xf>
    <xf numFmtId="0" fontId="4" fillId="2" borderId="7" xfId="10" applyFont="1" applyFill="1" applyBorder="1" applyAlignment="1"/>
    <xf numFmtId="0" fontId="4" fillId="0" borderId="7" xfId="10" applyFont="1" applyBorder="1" applyAlignment="1">
      <alignment horizontal="center"/>
    </xf>
    <xf numFmtId="0" fontId="1" fillId="0" borderId="0" xfId="10" applyFont="1" applyFill="1" applyAlignment="1">
      <alignment horizontal="center" textRotation="90"/>
    </xf>
    <xf numFmtId="0" fontId="4" fillId="2" borderId="7" xfId="10" applyFont="1" applyFill="1" applyBorder="1" applyAlignment="1">
      <alignment horizontal="right"/>
    </xf>
    <xf numFmtId="0" fontId="1" fillId="0" borderId="7" xfId="27" applyFont="1" applyFill="1" applyBorder="1" applyAlignment="1">
      <alignment horizontal="center"/>
    </xf>
    <xf numFmtId="0" fontId="41" fillId="0" borderId="7" xfId="10" applyFont="1" applyFill="1" applyBorder="1" applyAlignment="1">
      <alignment horizontal="center"/>
    </xf>
    <xf numFmtId="164" fontId="1" fillId="0" borderId="0" xfId="10" applyNumberFormat="1" applyFont="1" applyFill="1" applyAlignment="1">
      <alignment horizontal="center"/>
    </xf>
    <xf numFmtId="0" fontId="1" fillId="0" borderId="7" xfId="10" applyFont="1" applyFill="1" applyBorder="1" applyAlignment="1"/>
    <xf numFmtId="164" fontId="1" fillId="0" borderId="0" xfId="10" applyNumberFormat="1" applyFont="1" applyFill="1" applyBorder="1" applyAlignment="1">
      <alignment horizontal="center"/>
    </xf>
    <xf numFmtId="0" fontId="4" fillId="2" borderId="0" xfId="10" applyFont="1" applyFill="1" applyAlignment="1"/>
    <xf numFmtId="0" fontId="1" fillId="2" borderId="0" xfId="10" applyFont="1" applyFill="1" applyAlignment="1">
      <alignment horizontal="right"/>
    </xf>
    <xf numFmtId="0" fontId="4" fillId="2" borderId="0" xfId="10" applyFont="1" applyFill="1" applyAlignment="1">
      <alignment horizontal="center"/>
    </xf>
    <xf numFmtId="164" fontId="1" fillId="2" borderId="0" xfId="10" applyNumberFormat="1" applyFont="1" applyFill="1" applyAlignment="1">
      <alignment horizontal="center"/>
    </xf>
    <xf numFmtId="164" fontId="1" fillId="2" borderId="0" xfId="10" applyNumberFormat="1" applyFont="1" applyFill="1" applyAlignment="1"/>
    <xf numFmtId="0" fontId="1" fillId="2" borderId="0" xfId="10" applyFont="1" applyFill="1" applyAlignment="1">
      <alignment horizontal="center"/>
    </xf>
    <xf numFmtId="1" fontId="1" fillId="2" borderId="0" xfId="10" applyNumberFormat="1" applyFont="1" applyFill="1" applyAlignment="1">
      <alignment horizontal="center"/>
    </xf>
    <xf numFmtId="0" fontId="4" fillId="0" borderId="0" xfId="10" applyFont="1" applyFill="1" applyAlignment="1">
      <alignment horizontal="center"/>
    </xf>
    <xf numFmtId="0" fontId="16" fillId="0" borderId="0" xfId="1" applyFont="1" applyBorder="1" applyAlignment="1">
      <alignment horizontal="center"/>
    </xf>
    <xf numFmtId="0" fontId="0" fillId="0" borderId="3" xfId="0" applyBorder="1" applyAlignment="1">
      <alignment horizontal="center"/>
    </xf>
    <xf numFmtId="0" fontId="0" fillId="10" borderId="3" xfId="0" applyFill="1" applyBorder="1" applyAlignment="1">
      <alignment horizontal="center"/>
    </xf>
    <xf numFmtId="0" fontId="4" fillId="0" borderId="0" xfId="1" applyNumberFormat="1" applyFont="1" applyAlignment="1"/>
    <xf numFmtId="0" fontId="1" fillId="0" borderId="0" xfId="1" applyNumberFormat="1" applyFont="1" applyAlignment="1"/>
    <xf numFmtId="0" fontId="1" fillId="0" borderId="0" xfId="1" applyNumberFormat="1" applyFont="1" applyFill="1" applyAlignment="1"/>
    <xf numFmtId="0" fontId="1" fillId="0" borderId="0" xfId="1" applyFont="1" applyFill="1" applyAlignment="1">
      <alignment horizontal="right" vertical="top"/>
    </xf>
    <xf numFmtId="0" fontId="4" fillId="2" borderId="3" xfId="1" applyNumberFormat="1" applyFont="1" applyFill="1" applyBorder="1" applyAlignment="1"/>
    <xf numFmtId="0" fontId="1" fillId="0" borderId="0" xfId="1" applyNumberFormat="1" applyFont="1" applyAlignment="1">
      <alignment horizontal="center"/>
    </xf>
    <xf numFmtId="0" fontId="36" fillId="7" borderId="3" xfId="3" applyFont="1" applyFill="1" applyBorder="1" applyAlignment="1"/>
    <xf numFmtId="0" fontId="36" fillId="0" borderId="0" xfId="4" applyNumberFormat="1" applyFont="1" applyBorder="1" applyAlignment="1"/>
    <xf numFmtId="0" fontId="8" fillId="7" borderId="35" xfId="3" applyFont="1" applyFill="1" applyBorder="1" applyAlignment="1"/>
    <xf numFmtId="0" fontId="1" fillId="0" borderId="36" xfId="1" applyNumberFormat="1" applyFont="1" applyBorder="1" applyAlignment="1"/>
    <xf numFmtId="0" fontId="1" fillId="0" borderId="37" xfId="1" applyNumberFormat="1" applyFont="1" applyBorder="1" applyAlignment="1"/>
    <xf numFmtId="0" fontId="1" fillId="7" borderId="0" xfId="1" applyNumberFormat="1" applyFont="1" applyFill="1" applyAlignment="1"/>
    <xf numFmtId="0" fontId="0" fillId="10" borderId="0" xfId="0" applyFont="1" applyFill="1"/>
    <xf numFmtId="0" fontId="1" fillId="10" borderId="0" xfId="1" applyFont="1" applyFill="1" applyAlignment="1"/>
    <xf numFmtId="0" fontId="1" fillId="0" borderId="0" xfId="1" applyNumberFormat="1" applyFont="1" applyFill="1" applyAlignment="1">
      <alignment horizontal="left"/>
    </xf>
    <xf numFmtId="0" fontId="3" fillId="0" borderId="0" xfId="1" applyNumberFormat="1" applyFont="1" applyAlignment="1"/>
    <xf numFmtId="0" fontId="1" fillId="0" borderId="0" xfId="27" applyFont="1" applyAlignment="1"/>
    <xf numFmtId="0" fontId="1" fillId="2" borderId="0" xfId="27" applyFont="1" applyFill="1" applyAlignment="1"/>
    <xf numFmtId="0" fontId="3" fillId="2" borderId="0" xfId="10" applyFont="1" applyFill="1" applyAlignment="1">
      <alignment horizontal="right"/>
    </xf>
    <xf numFmtId="0" fontId="1" fillId="0" borderId="0" xfId="27" applyFont="1" applyFill="1" applyAlignment="1"/>
    <xf numFmtId="0" fontId="0" fillId="0" borderId="7" xfId="10" applyFont="1" applyFill="1" applyBorder="1" applyAlignment="1">
      <alignment wrapText="1"/>
    </xf>
    <xf numFmtId="0" fontId="0" fillId="0" borderId="7" xfId="9" applyFont="1" applyFill="1" applyBorder="1" applyAlignment="1">
      <alignment horizontal="center" wrapText="1"/>
    </xf>
    <xf numFmtId="0" fontId="0" fillId="10" borderId="7" xfId="9" applyFont="1" applyFill="1" applyBorder="1" applyAlignment="1">
      <alignment horizontal="center" wrapText="1"/>
    </xf>
    <xf numFmtId="0" fontId="1" fillId="0" borderId="7" xfId="9" applyFont="1" applyFill="1" applyBorder="1" applyAlignment="1">
      <alignment horizontal="center" wrapText="1"/>
    </xf>
    <xf numFmtId="0" fontId="0" fillId="16" borderId="3" xfId="9" applyFont="1" applyFill="1" applyBorder="1" applyAlignment="1">
      <alignment horizontal="center" wrapText="1"/>
    </xf>
    <xf numFmtId="0" fontId="39" fillId="8" borderId="7" xfId="6" applyNumberFormat="1" applyFont="1" applyFill="1" applyBorder="1" applyAlignment="1" applyProtection="1">
      <alignment horizontal="center"/>
    </xf>
    <xf numFmtId="0" fontId="1" fillId="2" borderId="28" xfId="10" applyFont="1" applyFill="1" applyBorder="1" applyAlignment="1">
      <alignment horizontal="center"/>
    </xf>
    <xf numFmtId="0" fontId="42" fillId="0" borderId="7" xfId="17" applyFont="1" applyFill="1" applyBorder="1" applyAlignment="1"/>
    <xf numFmtId="0" fontId="0" fillId="10" borderId="7" xfId="9" applyFont="1" applyFill="1" applyBorder="1" applyAlignment="1">
      <alignment horizontal="center"/>
    </xf>
    <xf numFmtId="0" fontId="1" fillId="0" borderId="7" xfId="9" applyFont="1" applyFill="1" applyBorder="1" applyAlignment="1">
      <alignment horizontal="center"/>
    </xf>
    <xf numFmtId="0" fontId="0" fillId="16" borderId="3" xfId="9" applyFont="1" applyFill="1" applyBorder="1" applyAlignment="1">
      <alignment horizontal="center"/>
    </xf>
    <xf numFmtId="0" fontId="30" fillId="8" borderId="7" xfId="27" applyFont="1" applyFill="1" applyBorder="1" applyAlignment="1">
      <alignment horizontal="center"/>
    </xf>
    <xf numFmtId="0" fontId="0" fillId="8" borderId="7" xfId="6" applyNumberFormat="1" applyFont="1" applyFill="1" applyBorder="1" applyAlignment="1">
      <alignment horizontal="center"/>
    </xf>
    <xf numFmtId="0" fontId="0" fillId="8" borderId="30" xfId="6" applyNumberFormat="1" applyFont="1" applyFill="1" applyBorder="1" applyAlignment="1">
      <alignment horizontal="center"/>
    </xf>
    <xf numFmtId="0" fontId="45" fillId="0" borderId="31" xfId="10" applyFont="1" applyFill="1" applyBorder="1" applyAlignment="1"/>
    <xf numFmtId="0" fontId="0" fillId="0" borderId="29" xfId="10" applyFont="1" applyBorder="1" applyAlignment="1">
      <alignment horizontal="center"/>
    </xf>
    <xf numFmtId="0" fontId="27" fillId="0" borderId="7" xfId="9" applyFont="1" applyFill="1" applyBorder="1" applyAlignment="1">
      <alignment horizontal="center"/>
    </xf>
    <xf numFmtId="0" fontId="27" fillId="0" borderId="7" xfId="28" applyFont="1" applyFill="1" applyBorder="1" applyAlignment="1">
      <alignment horizontal="center"/>
    </xf>
    <xf numFmtId="0" fontId="4" fillId="8" borderId="7" xfId="27" applyFont="1" applyFill="1" applyBorder="1" applyAlignment="1"/>
    <xf numFmtId="0" fontId="4" fillId="8" borderId="32" xfId="27" applyFont="1" applyFill="1" applyBorder="1" applyAlignment="1">
      <alignment horizontal="center"/>
    </xf>
    <xf numFmtId="0" fontId="27" fillId="0" borderId="7" xfId="10" applyFont="1" applyFill="1" applyBorder="1" applyAlignment="1">
      <alignment horizontal="right"/>
    </xf>
    <xf numFmtId="0" fontId="1" fillId="0" borderId="7" xfId="14" applyFont="1" applyFill="1" applyBorder="1" applyAlignment="1"/>
    <xf numFmtId="0" fontId="27" fillId="0" borderId="7" xfId="16" applyFont="1" applyFill="1" applyBorder="1" applyAlignment="1">
      <alignment horizontal="center"/>
    </xf>
    <xf numFmtId="0" fontId="28" fillId="0" borderId="7" xfId="16" applyFont="1" applyFill="1" applyBorder="1" applyAlignment="1">
      <alignment horizontal="center"/>
    </xf>
    <xf numFmtId="0" fontId="1" fillId="8" borderId="7" xfId="16" applyFont="1" applyFill="1" applyBorder="1" applyAlignment="1">
      <alignment horizontal="center"/>
    </xf>
    <xf numFmtId="0" fontId="1" fillId="0" borderId="7" xfId="6" applyNumberFormat="1" applyFont="1" applyFill="1" applyBorder="1" applyAlignment="1" applyProtection="1">
      <alignment horizontal="center" vertical="center" textRotation="90"/>
    </xf>
    <xf numFmtId="0" fontId="4" fillId="0" borderId="7" xfId="6" applyNumberFormat="1" applyFont="1" applyFill="1" applyBorder="1" applyAlignment="1" applyProtection="1">
      <alignment horizontal="center"/>
    </xf>
    <xf numFmtId="0" fontId="46" fillId="0" borderId="7" xfId="10" applyFont="1" applyFill="1" applyBorder="1" applyAlignment="1">
      <alignment horizontal="center"/>
    </xf>
    <xf numFmtId="0" fontId="46" fillId="0" borderId="7" xfId="16" applyFont="1" applyFill="1" applyBorder="1" applyAlignment="1">
      <alignment horizontal="center"/>
    </xf>
    <xf numFmtId="0" fontId="47" fillId="0" borderId="7" xfId="17" applyFont="1" applyFill="1" applyBorder="1" applyAlignment="1">
      <alignment horizontal="center"/>
    </xf>
    <xf numFmtId="0" fontId="31" fillId="0" borderId="0" xfId="5" applyFont="1" applyFill="1" applyAlignment="1">
      <alignment horizontal="right"/>
    </xf>
    <xf numFmtId="0" fontId="1" fillId="0" borderId="0" xfId="14" applyFont="1"/>
    <xf numFmtId="0" fontId="0" fillId="0" borderId="0" xfId="14" applyFont="1"/>
    <xf numFmtId="0" fontId="4" fillId="0" borderId="3" xfId="10" applyFont="1" applyBorder="1" applyAlignment="1"/>
    <xf numFmtId="0" fontId="1" fillId="2" borderId="3" xfId="19" applyFont="1" applyFill="1" applyBorder="1" applyAlignment="1"/>
    <xf numFmtId="0" fontId="1" fillId="11" borderId="3" xfId="19" applyFont="1" applyFill="1" applyBorder="1" applyAlignment="1"/>
    <xf numFmtId="0" fontId="0" fillId="0" borderId="0" xfId="1" applyFont="1" applyFill="1" applyBorder="1" applyAlignment="1">
      <alignment vertical="top"/>
    </xf>
    <xf numFmtId="0" fontId="1" fillId="0" borderId="0" xfId="1" applyFont="1" applyAlignment="1">
      <alignment vertical="top"/>
    </xf>
    <xf numFmtId="0" fontId="1" fillId="0" borderId="0" xfId="1" applyFont="1" applyFill="1" applyBorder="1" applyAlignment="1"/>
    <xf numFmtId="0" fontId="4" fillId="0" borderId="0" xfId="1" applyFont="1" applyAlignment="1">
      <alignment vertical="top"/>
    </xf>
    <xf numFmtId="0" fontId="1" fillId="0" borderId="2" xfId="1" applyFont="1" applyFill="1" applyBorder="1" applyAlignment="1"/>
    <xf numFmtId="0" fontId="8" fillId="0" borderId="0" xfId="3" applyFont="1" applyFill="1" applyBorder="1" applyAlignment="1">
      <alignment horizontal="right"/>
    </xf>
    <xf numFmtId="0" fontId="7" fillId="0" borderId="3" xfId="3" applyFill="1" applyBorder="1" applyAlignment="1"/>
    <xf numFmtId="0" fontId="1" fillId="0" borderId="1" xfId="1" applyFont="1" applyFill="1" applyBorder="1" applyAlignment="1"/>
    <xf numFmtId="0" fontId="1" fillId="0" borderId="0" xfId="5" applyFont="1" applyFill="1" applyAlignment="1"/>
    <xf numFmtId="0" fontId="23" fillId="0" borderId="0" xfId="10" applyFont="1" applyFill="1" applyBorder="1" applyAlignment="1"/>
    <xf numFmtId="0" fontId="23" fillId="0" borderId="0" xfId="5" applyFont="1" applyFill="1" applyBorder="1" applyAlignment="1"/>
    <xf numFmtId="0" fontId="0" fillId="0" borderId="0" xfId="0" applyFont="1" applyFill="1"/>
    <xf numFmtId="0" fontId="4" fillId="19" borderId="0" xfId="1" quotePrefix="1" applyNumberFormat="1" applyFont="1" applyFill="1" applyAlignment="1"/>
    <xf numFmtId="0" fontId="1" fillId="0" borderId="0" xfId="1" applyNumberFormat="1" applyFont="1" applyAlignment="1"/>
    <xf numFmtId="0" fontId="7" fillId="8" borderId="3" xfId="3" applyNumberFormat="1" applyFill="1" applyBorder="1" applyAlignment="1"/>
    <xf numFmtId="0" fontId="1" fillId="0" borderId="0" xfId="1" applyNumberFormat="1" applyFont="1" applyFill="1" applyAlignment="1"/>
    <xf numFmtId="0" fontId="43" fillId="0" borderId="3" xfId="3" applyFont="1" applyFill="1" applyBorder="1" applyAlignment="1"/>
    <xf numFmtId="0" fontId="7" fillId="10" borderId="3" xfId="3" applyNumberFormat="1" applyFill="1" applyBorder="1" applyAlignment="1"/>
    <xf numFmtId="0" fontId="7" fillId="20" borderId="3" xfId="3" applyFill="1" applyBorder="1" applyAlignment="1"/>
    <xf numFmtId="0" fontId="1" fillId="6" borderId="0" xfId="1" applyFont="1" applyFill="1" applyBorder="1" applyAlignment="1"/>
    <xf numFmtId="0" fontId="4" fillId="0" borderId="0" xfId="1" applyNumberFormat="1" applyFont="1" applyFill="1" applyAlignment="1">
      <alignment horizontal="right"/>
    </xf>
    <xf numFmtId="0" fontId="38" fillId="2" borderId="0" xfId="1" applyFont="1" applyFill="1" applyBorder="1" applyAlignment="1"/>
    <xf numFmtId="0" fontId="7" fillId="0" borderId="0" xfId="3" applyFill="1" applyBorder="1" applyAlignment="1"/>
    <xf numFmtId="0" fontId="4" fillId="5" borderId="39" xfId="1" applyFont="1" applyFill="1" applyBorder="1" applyAlignment="1"/>
    <xf numFmtId="0" fontId="1" fillId="0" borderId="40" xfId="1" applyFont="1" applyFill="1" applyBorder="1" applyAlignment="1"/>
    <xf numFmtId="0" fontId="4" fillId="0" borderId="40" xfId="1" applyFont="1" applyFill="1" applyBorder="1" applyAlignment="1"/>
    <xf numFmtId="0" fontId="4" fillId="5" borderId="41" xfId="1" applyFont="1" applyFill="1" applyBorder="1" applyAlignment="1"/>
    <xf numFmtId="0" fontId="1" fillId="8" borderId="40" xfId="1" applyFont="1" applyFill="1" applyBorder="1" applyAlignment="1"/>
    <xf numFmtId="0" fontId="4" fillId="6" borderId="0" xfId="1" applyFont="1" applyFill="1" applyBorder="1" applyAlignment="1"/>
    <xf numFmtId="0" fontId="2" fillId="4" borderId="39" xfId="1" applyFont="1" applyFill="1" applyBorder="1" applyAlignment="1"/>
    <xf numFmtId="0" fontId="1" fillId="0" borderId="42" xfId="1" applyFont="1" applyFill="1" applyBorder="1" applyAlignment="1"/>
    <xf numFmtId="0" fontId="4" fillId="8" borderId="40" xfId="1" applyFont="1" applyFill="1" applyBorder="1" applyAlignment="1"/>
    <xf numFmtId="0" fontId="4" fillId="0" borderId="42" xfId="1" applyFont="1" applyFill="1" applyBorder="1" applyAlignment="1"/>
    <xf numFmtId="0" fontId="1" fillId="0" borderId="44" xfId="1" applyFont="1" applyFill="1" applyBorder="1" applyAlignment="1"/>
    <xf numFmtId="0" fontId="1" fillId="0" borderId="43" xfId="1" applyFont="1" applyFill="1" applyBorder="1" applyAlignment="1"/>
    <xf numFmtId="0" fontId="21" fillId="0" borderId="45" xfId="14" applyFont="1" applyFill="1" applyBorder="1" applyAlignment="1"/>
    <xf numFmtId="0" fontId="23" fillId="0" borderId="45" xfId="14" applyFont="1" applyFill="1" applyBorder="1" applyAlignment="1"/>
    <xf numFmtId="0" fontId="1" fillId="0" borderId="45" xfId="14" applyFont="1" applyFill="1" applyBorder="1" applyAlignment="1"/>
    <xf numFmtId="0" fontId="1" fillId="0" borderId="45" xfId="3" applyFont="1" applyFill="1" applyBorder="1" applyAlignment="1"/>
    <xf numFmtId="0" fontId="1" fillId="8" borderId="43" xfId="1" applyFont="1" applyFill="1" applyBorder="1" applyAlignment="1"/>
    <xf numFmtId="0" fontId="4" fillId="0" borderId="43" xfId="1" applyFont="1" applyFill="1" applyBorder="1" applyAlignment="1"/>
    <xf numFmtId="0" fontId="1" fillId="6" borderId="0" xfId="1" applyFont="1" applyFill="1" applyBorder="1" applyAlignment="1">
      <alignment horizontal="right"/>
    </xf>
    <xf numFmtId="0" fontId="21" fillId="0" borderId="0" xfId="1" applyFont="1" applyFill="1" applyBorder="1" applyAlignment="1">
      <alignment horizontal="right"/>
    </xf>
    <xf numFmtId="0" fontId="4" fillId="8" borderId="0" xfId="1" applyFont="1" applyFill="1" applyBorder="1" applyAlignment="1"/>
    <xf numFmtId="0" fontId="4" fillId="0" borderId="0" xfId="1" applyFont="1" applyBorder="1" applyAlignment="1">
      <alignment vertical="top"/>
    </xf>
    <xf numFmtId="0" fontId="4" fillId="0" borderId="45" xfId="1" applyFont="1" applyFill="1" applyBorder="1" applyAlignment="1"/>
    <xf numFmtId="0" fontId="1" fillId="0" borderId="45" xfId="1" applyFont="1" applyFill="1" applyBorder="1" applyAlignment="1"/>
    <xf numFmtId="0" fontId="21" fillId="0" borderId="45" xfId="1" applyFont="1" applyFill="1" applyBorder="1" applyAlignment="1">
      <alignment horizontal="center" vertical="top"/>
    </xf>
    <xf numFmtId="0" fontId="8" fillId="0" borderId="45" xfId="3" applyFont="1" applyFill="1" applyBorder="1" applyAlignment="1"/>
    <xf numFmtId="0" fontId="4" fillId="0" borderId="46" xfId="1" applyFont="1" applyFill="1" applyBorder="1" applyAlignment="1"/>
    <xf numFmtId="0" fontId="4" fillId="0" borderId="47" xfId="1" applyFont="1" applyFill="1" applyBorder="1" applyAlignment="1"/>
    <xf numFmtId="0" fontId="21" fillId="0" borderId="45" xfId="3" applyFont="1" applyFill="1" applyBorder="1" applyAlignment="1"/>
    <xf numFmtId="0" fontId="21" fillId="0" borderId="45" xfId="1" applyFont="1" applyFill="1" applyBorder="1" applyAlignment="1">
      <alignment horizontal="center"/>
    </xf>
    <xf numFmtId="0" fontId="8" fillId="0" borderId="45" xfId="4" applyFont="1" applyFill="1" applyBorder="1" applyAlignment="1"/>
    <xf numFmtId="0" fontId="4" fillId="0" borderId="44" xfId="1" applyFont="1" applyFill="1" applyBorder="1" applyAlignment="1"/>
    <xf numFmtId="0" fontId="4" fillId="19" borderId="0" xfId="1" applyFont="1" applyFill="1" applyBorder="1" applyAlignment="1"/>
    <xf numFmtId="0" fontId="1" fillId="19" borderId="0" xfId="1" applyFont="1" applyFill="1" applyBorder="1" applyAlignment="1"/>
    <xf numFmtId="0" fontId="4" fillId="19" borderId="0" xfId="1" quotePrefix="1" applyNumberFormat="1" applyFont="1" applyFill="1" applyBorder="1" applyAlignment="1"/>
    <xf numFmtId="0" fontId="4" fillId="2" borderId="48" xfId="1" applyFont="1" applyFill="1" applyBorder="1" applyAlignment="1"/>
    <xf numFmtId="0" fontId="4" fillId="2" borderId="49" xfId="1" applyFont="1" applyFill="1" applyBorder="1" applyAlignment="1"/>
    <xf numFmtId="0" fontId="4" fillId="2" borderId="50" xfId="1" applyFont="1" applyFill="1" applyBorder="1" applyAlignment="1"/>
    <xf numFmtId="0" fontId="8" fillId="0" borderId="51" xfId="3" applyFont="1" applyFill="1" applyBorder="1" applyAlignment="1"/>
    <xf numFmtId="0" fontId="4" fillId="5" borderId="52" xfId="1" applyFont="1" applyFill="1" applyBorder="1" applyAlignment="1"/>
    <xf numFmtId="0" fontId="2" fillId="4" borderId="53" xfId="1" applyFont="1" applyFill="1" applyBorder="1" applyAlignment="1"/>
    <xf numFmtId="0" fontId="4" fillId="5" borderId="54" xfId="1" applyFont="1" applyFill="1" applyBorder="1" applyAlignment="1"/>
    <xf numFmtId="0" fontId="4" fillId="5" borderId="55" xfId="1" applyFont="1" applyFill="1" applyBorder="1" applyAlignment="1"/>
    <xf numFmtId="0" fontId="4" fillId="0" borderId="2" xfId="1" applyFont="1" applyFill="1" applyBorder="1" applyAlignment="1"/>
    <xf numFmtId="0" fontId="4" fillId="5" borderId="58" xfId="1" applyFont="1" applyFill="1" applyBorder="1" applyAlignment="1"/>
    <xf numFmtId="0" fontId="7" fillId="0" borderId="2" xfId="3" applyFill="1" applyBorder="1" applyAlignment="1">
      <alignment horizontal="right"/>
    </xf>
    <xf numFmtId="0" fontId="1" fillId="0" borderId="59" xfId="1" applyFont="1" applyFill="1" applyBorder="1" applyAlignment="1"/>
    <xf numFmtId="0" fontId="1" fillId="0" borderId="60" xfId="1" applyFont="1" applyFill="1" applyBorder="1" applyAlignment="1"/>
    <xf numFmtId="0" fontId="1" fillId="0" borderId="61" xfId="1" applyFont="1" applyFill="1" applyBorder="1" applyAlignment="1"/>
    <xf numFmtId="0" fontId="1" fillId="8" borderId="60" xfId="1" applyFont="1" applyFill="1" applyBorder="1" applyAlignment="1"/>
    <xf numFmtId="0" fontId="8" fillId="0" borderId="61" xfId="3" applyFont="1" applyFill="1" applyBorder="1" applyAlignment="1">
      <alignment horizontal="right"/>
    </xf>
    <xf numFmtId="0" fontId="1" fillId="0" borderId="62" xfId="1" applyFont="1" applyFill="1" applyBorder="1" applyAlignment="1"/>
    <xf numFmtId="0" fontId="1" fillId="0" borderId="51" xfId="1" applyFont="1" applyFill="1" applyBorder="1" applyAlignment="1"/>
    <xf numFmtId="0" fontId="1" fillId="0" borderId="53" xfId="1" applyFont="1" applyFill="1" applyBorder="1" applyAlignment="1"/>
    <xf numFmtId="0" fontId="1" fillId="6" borderId="61" xfId="1" applyFont="1" applyFill="1" applyBorder="1" applyAlignment="1"/>
    <xf numFmtId="0" fontId="36" fillId="0" borderId="62" xfId="3" applyFont="1" applyFill="1" applyBorder="1" applyAlignment="1"/>
    <xf numFmtId="0" fontId="4" fillId="0" borderId="60" xfId="1" applyFont="1" applyFill="1" applyBorder="1" applyAlignment="1"/>
    <xf numFmtId="0" fontId="4" fillId="0" borderId="61" xfId="1" applyFont="1" applyFill="1" applyBorder="1" applyAlignment="1"/>
    <xf numFmtId="0" fontId="2" fillId="4" borderId="52" xfId="1" applyFont="1" applyFill="1" applyBorder="1" applyAlignment="1"/>
    <xf numFmtId="0" fontId="4" fillId="0" borderId="63" xfId="1" applyFont="1" applyFill="1" applyBorder="1" applyAlignment="1"/>
    <xf numFmtId="0" fontId="21" fillId="0" borderId="64" xfId="19" applyFont="1" applyFill="1" applyBorder="1" applyAlignment="1">
      <alignment vertical="top" wrapText="1"/>
    </xf>
    <xf numFmtId="0" fontId="21" fillId="0" borderId="59" xfId="3" applyFont="1" applyBorder="1"/>
    <xf numFmtId="0" fontId="22" fillId="0" borderId="51" xfId="3" applyFont="1" applyFill="1" applyBorder="1" applyAlignment="1">
      <alignment vertical="top"/>
    </xf>
    <xf numFmtId="0" fontId="21" fillId="0" borderId="1" xfId="0" applyFont="1" applyFill="1" applyBorder="1" applyAlignment="1"/>
    <xf numFmtId="0" fontId="21" fillId="0" borderId="1" xfId="3" applyFont="1" applyFill="1" applyBorder="1" applyAlignment="1"/>
    <xf numFmtId="0" fontId="1" fillId="8" borderId="61" xfId="1" applyFont="1" applyFill="1" applyBorder="1" applyAlignment="1"/>
    <xf numFmtId="0" fontId="21" fillId="0" borderId="1" xfId="1" applyFont="1" applyFill="1" applyBorder="1" applyAlignment="1"/>
    <xf numFmtId="0" fontId="21" fillId="0" borderId="51" xfId="1" applyFont="1" applyFill="1" applyBorder="1" applyAlignment="1">
      <alignment vertical="top"/>
    </xf>
    <xf numFmtId="0" fontId="22" fillId="0" borderId="59" xfId="3" applyFont="1" applyBorder="1" applyAlignment="1">
      <alignment vertical="top"/>
    </xf>
    <xf numFmtId="0" fontId="1" fillId="0" borderId="38" xfId="1" applyFont="1" applyFill="1" applyBorder="1" applyAlignment="1"/>
    <xf numFmtId="0" fontId="21" fillId="0" borderId="64" xfId="1" applyFont="1" applyFill="1" applyBorder="1" applyAlignment="1"/>
    <xf numFmtId="0" fontId="1" fillId="0" borderId="1" xfId="0" applyFont="1" applyFill="1" applyBorder="1" applyAlignment="1"/>
    <xf numFmtId="0" fontId="1" fillId="6" borderId="1" xfId="1" applyFont="1" applyFill="1" applyBorder="1" applyAlignment="1">
      <alignment vertical="top"/>
    </xf>
    <xf numFmtId="0" fontId="1" fillId="6" borderId="59" xfId="1" applyFont="1" applyFill="1" applyBorder="1" applyAlignment="1"/>
    <xf numFmtId="0" fontId="1" fillId="0" borderId="51" xfId="1" applyFont="1" applyFill="1" applyBorder="1" applyAlignment="1">
      <alignment vertical="top"/>
    </xf>
    <xf numFmtId="0" fontId="1" fillId="0" borderId="1" xfId="1" applyFont="1" applyFill="1" applyBorder="1" applyAlignment="1">
      <alignment vertical="top"/>
    </xf>
    <xf numFmtId="0" fontId="1" fillId="0" borderId="65" xfId="1" applyFont="1" applyFill="1" applyBorder="1" applyAlignment="1"/>
    <xf numFmtId="0" fontId="1" fillId="0" borderId="66" xfId="1" applyFont="1" applyFill="1" applyBorder="1" applyAlignment="1"/>
    <xf numFmtId="0" fontId="22" fillId="0" borderId="44" xfId="3" applyFont="1" applyFill="1" applyBorder="1" applyAlignment="1">
      <alignment vertical="top"/>
    </xf>
    <xf numFmtId="0" fontId="1" fillId="0" borderId="0" xfId="1" applyFont="1" applyFill="1" applyBorder="1" applyAlignment="1">
      <alignment horizontal="center"/>
    </xf>
    <xf numFmtId="0" fontId="1" fillId="16" borderId="2" xfId="1" applyFont="1" applyFill="1" applyBorder="1" applyAlignment="1"/>
    <xf numFmtId="0" fontId="1" fillId="16" borderId="56" xfId="1" applyFont="1" applyFill="1" applyBorder="1" applyAlignment="1"/>
    <xf numFmtId="0" fontId="1" fillId="0" borderId="57" xfId="1" applyFont="1" applyFill="1" applyBorder="1" applyAlignment="1"/>
    <xf numFmtId="0" fontId="1" fillId="0" borderId="56" xfId="1" applyFont="1" applyFill="1" applyBorder="1" applyAlignment="1"/>
    <xf numFmtId="0" fontId="2" fillId="4" borderId="58" xfId="1" applyFont="1" applyFill="1" applyBorder="1" applyAlignment="1"/>
    <xf numFmtId="0" fontId="4" fillId="0" borderId="57" xfId="1" applyFont="1" applyFill="1" applyBorder="1" applyAlignment="1"/>
    <xf numFmtId="0" fontId="4" fillId="0" borderId="62" xfId="1" applyFont="1" applyFill="1" applyBorder="1" applyAlignment="1"/>
    <xf numFmtId="0" fontId="1" fillId="0" borderId="67" xfId="1" applyFont="1" applyFill="1" applyBorder="1" applyAlignment="1"/>
    <xf numFmtId="0" fontId="1" fillId="0" borderId="61" xfId="1" applyFont="1" applyBorder="1" applyAlignment="1">
      <alignment vertical="top"/>
    </xf>
    <xf numFmtId="0" fontId="4" fillId="8" borderId="61" xfId="1" applyFont="1" applyFill="1" applyBorder="1" applyAlignment="1"/>
    <xf numFmtId="0" fontId="8" fillId="8" borderId="59" xfId="3" applyFont="1" applyFill="1" applyBorder="1" applyAlignment="1"/>
    <xf numFmtId="0" fontId="8" fillId="6" borderId="1" xfId="3" applyFont="1" applyFill="1" applyBorder="1" applyAlignment="1"/>
    <xf numFmtId="0" fontId="8" fillId="0" borderId="1" xfId="3" applyFont="1" applyFill="1" applyBorder="1" applyAlignment="1">
      <alignment vertical="top"/>
    </xf>
    <xf numFmtId="0" fontId="1" fillId="6" borderId="1" xfId="1" applyFont="1" applyFill="1" applyBorder="1" applyAlignment="1"/>
    <xf numFmtId="0" fontId="1" fillId="0" borderId="64" xfId="1" applyFont="1" applyFill="1" applyBorder="1" applyAlignment="1"/>
    <xf numFmtId="0" fontId="4" fillId="0" borderId="59" xfId="1" applyFont="1" applyFill="1" applyBorder="1" applyAlignment="1">
      <alignment vertical="top"/>
    </xf>
    <xf numFmtId="0" fontId="1" fillId="0" borderId="51" xfId="3" applyFont="1" applyFill="1" applyBorder="1" applyAlignment="1"/>
    <xf numFmtId="0" fontId="22" fillId="0" borderId="64" xfId="3" applyFont="1" applyFill="1" applyBorder="1" applyAlignment="1">
      <alignment vertical="top"/>
    </xf>
    <xf numFmtId="0" fontId="22" fillId="0" borderId="64" xfId="3" applyFont="1" applyFill="1" applyBorder="1" applyAlignment="1"/>
    <xf numFmtId="0" fontId="1" fillId="0" borderId="1" xfId="3" applyFont="1" applyFill="1" applyBorder="1" applyAlignment="1"/>
    <xf numFmtId="0" fontId="1" fillId="15" borderId="2" xfId="1" applyFont="1" applyFill="1" applyBorder="1" applyAlignment="1"/>
    <xf numFmtId="0" fontId="1" fillId="15" borderId="56" xfId="1" applyFont="1" applyFill="1" applyBorder="1" applyAlignment="1"/>
    <xf numFmtId="0" fontId="7" fillId="0" borderId="56" xfId="3" applyFill="1" applyBorder="1" applyAlignment="1"/>
    <xf numFmtId="0" fontId="4" fillId="6" borderId="2" xfId="1" applyFont="1" applyFill="1" applyBorder="1" applyAlignment="1"/>
    <xf numFmtId="0" fontId="4" fillId="6" borderId="56" xfId="1" applyFont="1" applyFill="1" applyBorder="1" applyAlignment="1"/>
    <xf numFmtId="0" fontId="24" fillId="0" borderId="68" xfId="3" applyFont="1" applyFill="1" applyBorder="1" applyAlignment="1">
      <alignment horizontal="right"/>
    </xf>
    <xf numFmtId="0" fontId="1" fillId="0" borderId="59" xfId="1" applyFont="1" applyFill="1" applyBorder="1" applyAlignment="1">
      <alignment vertical="top"/>
    </xf>
    <xf numFmtId="0" fontId="1" fillId="0" borderId="61" xfId="1" applyFont="1" applyFill="1" applyBorder="1" applyAlignment="1">
      <alignment horizontal="right" vertical="top"/>
    </xf>
    <xf numFmtId="0" fontId="22" fillId="0" borderId="59" xfId="3" applyFont="1" applyFill="1" applyBorder="1" applyAlignment="1"/>
    <xf numFmtId="0" fontId="8" fillId="0" borderId="59" xfId="4" applyFont="1" applyFill="1" applyBorder="1" applyAlignment="1"/>
    <xf numFmtId="0" fontId="8" fillId="0" borderId="59" xfId="3" applyFont="1" applyFill="1" applyBorder="1" applyAlignment="1">
      <alignment vertical="top"/>
    </xf>
    <xf numFmtId="0" fontId="8" fillId="0" borderId="61" xfId="3" applyFont="1" applyFill="1" applyBorder="1" applyAlignment="1"/>
    <xf numFmtId="0" fontId="8" fillId="0" borderId="65" xfId="3" applyFont="1" applyFill="1" applyBorder="1" applyAlignment="1"/>
    <xf numFmtId="0" fontId="8" fillId="0" borderId="66" xfId="3" applyFont="1" applyFill="1" applyBorder="1" applyAlignment="1"/>
    <xf numFmtId="0" fontId="22" fillId="0" borderId="61" xfId="3" applyFont="1" applyFill="1" applyBorder="1" applyAlignment="1">
      <alignment horizontal="right"/>
    </xf>
    <xf numFmtId="0" fontId="26" fillId="0" borderId="70" xfId="1" applyFont="1" applyFill="1" applyBorder="1" applyAlignment="1">
      <alignment vertical="top"/>
    </xf>
    <xf numFmtId="0" fontId="22" fillId="0" borderId="61" xfId="3" applyFont="1" applyFill="1" applyBorder="1" applyAlignment="1"/>
    <xf numFmtId="0" fontId="21" fillId="0" borderId="61" xfId="1" applyFont="1" applyBorder="1" applyAlignment="1">
      <alignment horizontal="center" vertical="top"/>
    </xf>
    <xf numFmtId="0" fontId="22" fillId="0" borderId="70" xfId="3" applyFont="1" applyFill="1" applyBorder="1" applyAlignment="1"/>
    <xf numFmtId="0" fontId="22" fillId="0" borderId="70" xfId="3" applyFont="1" applyFill="1" applyBorder="1" applyAlignment="1">
      <alignment vertical="top"/>
    </xf>
    <xf numFmtId="0" fontId="21" fillId="0" borderId="71" xfId="3" applyFont="1" applyFill="1" applyBorder="1" applyAlignment="1">
      <alignment horizontal="right" vertical="top"/>
    </xf>
    <xf numFmtId="0" fontId="1" fillId="0" borderId="73" xfId="1" applyFont="1" applyFill="1" applyBorder="1" applyAlignment="1"/>
    <xf numFmtId="0" fontId="21" fillId="0" borderId="73" xfId="1" applyFont="1" applyFill="1" applyBorder="1" applyAlignment="1">
      <alignment horizontal="center"/>
    </xf>
    <xf numFmtId="0" fontId="1" fillId="0" borderId="60" xfId="1" applyFont="1" applyFill="1" applyBorder="1" applyAlignment="1">
      <alignment horizontal="right"/>
    </xf>
    <xf numFmtId="0" fontId="1" fillId="0" borderId="38" xfId="0" applyFont="1" applyFill="1" applyBorder="1" applyAlignment="1"/>
    <xf numFmtId="0" fontId="1" fillId="8" borderId="1" xfId="1" applyFont="1" applyFill="1" applyBorder="1" applyAlignment="1"/>
    <xf numFmtId="0" fontId="1" fillId="8" borderId="59" xfId="1" applyFont="1" applyFill="1" applyBorder="1" applyAlignment="1"/>
    <xf numFmtId="0" fontId="8" fillId="0" borderId="38" xfId="3" applyFont="1" applyFill="1" applyBorder="1" applyAlignment="1"/>
    <xf numFmtId="0" fontId="21" fillId="0" borderId="74" xfId="14" applyFont="1" applyFill="1" applyBorder="1" applyAlignment="1"/>
    <xf numFmtId="0" fontId="7" fillId="0" borderId="59" xfId="3" applyFill="1" applyBorder="1" applyAlignment="1">
      <alignment horizontal="right" vertical="top"/>
    </xf>
    <xf numFmtId="0" fontId="1" fillId="0" borderId="59" xfId="3" applyFont="1" applyFill="1" applyBorder="1" applyAlignment="1"/>
    <xf numFmtId="0" fontId="2" fillId="0" borderId="2" xfId="1" applyFont="1" applyFill="1" applyBorder="1" applyAlignment="1"/>
    <xf numFmtId="0" fontId="4" fillId="8" borderId="0" xfId="1" applyFont="1" applyFill="1" applyBorder="1" applyAlignment="1">
      <alignment vertical="top"/>
    </xf>
    <xf numFmtId="0" fontId="37" fillId="0" borderId="1" xfId="1" applyFont="1" applyFill="1" applyBorder="1" applyAlignment="1"/>
    <xf numFmtId="0" fontId="1" fillId="0" borderId="59" xfId="1" applyFont="1" applyBorder="1" applyAlignment="1">
      <alignment vertical="top"/>
    </xf>
    <xf numFmtId="0" fontId="8" fillId="0" borderId="59" xfId="3" applyFont="1" applyFill="1" applyBorder="1"/>
    <xf numFmtId="0" fontId="49" fillId="0" borderId="66" xfId="1" applyFont="1" applyFill="1" applyBorder="1" applyAlignment="1"/>
    <xf numFmtId="0" fontId="8" fillId="8" borderId="67" xfId="3" applyFont="1" applyFill="1" applyBorder="1" applyAlignment="1"/>
    <xf numFmtId="0" fontId="4" fillId="0" borderId="68" xfId="1" applyFont="1" applyFill="1" applyBorder="1" applyAlignment="1"/>
    <xf numFmtId="0" fontId="4" fillId="0" borderId="77" xfId="1" applyFont="1" applyFill="1" applyBorder="1" applyAlignment="1"/>
    <xf numFmtId="0" fontId="1" fillId="0" borderId="70" xfId="1" applyFont="1" applyFill="1" applyBorder="1" applyAlignment="1"/>
    <xf numFmtId="0" fontId="1" fillId="0" borderId="70" xfId="14" applyFont="1" applyFill="1" applyBorder="1" applyAlignment="1">
      <alignment horizontal="center"/>
    </xf>
    <xf numFmtId="0" fontId="1" fillId="0" borderId="71" xfId="1" applyFont="1" applyFill="1" applyBorder="1" applyAlignment="1"/>
    <xf numFmtId="0" fontId="1" fillId="0" borderId="78" xfId="1" applyFont="1" applyFill="1" applyBorder="1" applyAlignment="1"/>
    <xf numFmtId="0" fontId="1" fillId="0" borderId="79" xfId="1" applyFont="1" applyFill="1" applyBorder="1" applyAlignment="1"/>
    <xf numFmtId="0" fontId="1" fillId="0" borderId="80" xfId="14" applyFont="1" applyFill="1" applyBorder="1" applyAlignment="1"/>
    <xf numFmtId="0" fontId="1" fillId="0" borderId="81" xfId="1" applyFont="1" applyFill="1" applyBorder="1" applyAlignment="1"/>
    <xf numFmtId="0" fontId="1" fillId="0" borderId="82" xfId="1" applyFont="1" applyFill="1" applyBorder="1" applyAlignment="1"/>
    <xf numFmtId="0" fontId="1" fillId="0" borderId="81" xfId="1" applyFont="1" applyFill="1" applyBorder="1" applyAlignment="1">
      <alignment vertical="top"/>
    </xf>
    <xf numFmtId="0" fontId="1" fillId="0" borderId="83" xfId="1" applyFont="1" applyFill="1" applyBorder="1" applyAlignment="1"/>
    <xf numFmtId="0" fontId="4" fillId="2" borderId="2" xfId="1" applyFont="1" applyFill="1" applyBorder="1" applyAlignment="1"/>
    <xf numFmtId="0" fontId="4" fillId="2" borderId="56" xfId="1" applyFont="1" applyFill="1" applyBorder="1" applyAlignment="1"/>
    <xf numFmtId="0" fontId="21" fillId="0" borderId="68" xfId="1" applyFont="1" applyFill="1" applyBorder="1" applyAlignment="1">
      <alignment horizontal="right"/>
    </xf>
    <xf numFmtId="0" fontId="1" fillId="0" borderId="51" xfId="14" applyFont="1" applyFill="1" applyBorder="1" applyAlignment="1"/>
    <xf numFmtId="0" fontId="1" fillId="0" borderId="1" xfId="14" applyFont="1" applyFill="1" applyBorder="1" applyAlignment="1"/>
    <xf numFmtId="0" fontId="0" fillId="2" borderId="1" xfId="1" applyFont="1" applyFill="1" applyBorder="1" applyAlignment="1"/>
    <xf numFmtId="0" fontId="8" fillId="2" borderId="38" xfId="3" applyFont="1" applyFill="1" applyBorder="1" applyAlignment="1"/>
    <xf numFmtId="0" fontId="1" fillId="0" borderId="70" xfId="1" applyFont="1" applyFill="1" applyBorder="1" applyAlignment="1">
      <alignment vertical="top"/>
    </xf>
    <xf numFmtId="0" fontId="4" fillId="5" borderId="84" xfId="1" applyFont="1" applyFill="1" applyBorder="1" applyAlignment="1"/>
    <xf numFmtId="0" fontId="1" fillId="0" borderId="85" xfId="1" applyFont="1" applyFill="1" applyBorder="1" applyAlignment="1"/>
    <xf numFmtId="0" fontId="4" fillId="0" borderId="86" xfId="1" applyFont="1" applyFill="1" applyBorder="1" applyAlignment="1"/>
    <xf numFmtId="0" fontId="4" fillId="0" borderId="87" xfId="1" applyFont="1" applyFill="1" applyBorder="1" applyAlignment="1"/>
    <xf numFmtId="0" fontId="1" fillId="0" borderId="87" xfId="1" applyFont="1" applyFill="1" applyBorder="1" applyAlignment="1"/>
    <xf numFmtId="0" fontId="7" fillId="0" borderId="2" xfId="3" applyFill="1" applyBorder="1" applyAlignment="1"/>
    <xf numFmtId="0" fontId="7" fillId="0" borderId="88" xfId="3" applyFill="1" applyBorder="1" applyAlignment="1"/>
    <xf numFmtId="0" fontId="7" fillId="0" borderId="1" xfId="3" applyBorder="1" applyAlignment="1">
      <alignment vertical="top"/>
    </xf>
    <xf numFmtId="0" fontId="7" fillId="0" borderId="89" xfId="3" applyFill="1" applyBorder="1" applyAlignment="1">
      <alignment horizontal="right"/>
    </xf>
    <xf numFmtId="0" fontId="50" fillId="0" borderId="51" xfId="3" applyFont="1" applyFill="1" applyBorder="1" applyAlignment="1">
      <alignment vertical="center"/>
    </xf>
    <xf numFmtId="0" fontId="7" fillId="22" borderId="3" xfId="3" applyFill="1" applyBorder="1" applyAlignment="1"/>
    <xf numFmtId="0" fontId="1" fillId="0" borderId="62" xfId="1" applyFont="1" applyBorder="1" applyAlignment="1">
      <alignment vertical="top"/>
    </xf>
    <xf numFmtId="0" fontId="33" fillId="6" borderId="1" xfId="3" applyFont="1" applyFill="1" applyBorder="1"/>
    <xf numFmtId="0" fontId="7" fillId="0" borderId="40" xfId="3" applyFill="1" applyBorder="1" applyAlignment="1"/>
    <xf numFmtId="0" fontId="1" fillId="6" borderId="61" xfId="1" applyFont="1" applyFill="1" applyBorder="1" applyAlignment="1">
      <alignment vertical="top"/>
    </xf>
    <xf numFmtId="0" fontId="1" fillId="0" borderId="57" xfId="1" applyFont="1" applyBorder="1" applyAlignment="1">
      <alignment vertical="top"/>
    </xf>
    <xf numFmtId="0" fontId="7" fillId="0" borderId="44" xfId="3" applyBorder="1" applyAlignment="1">
      <alignment vertical="top"/>
    </xf>
    <xf numFmtId="0" fontId="1" fillId="6" borderId="85" xfId="1" applyFont="1" applyFill="1" applyBorder="1" applyAlignment="1"/>
    <xf numFmtId="0" fontId="1" fillId="6" borderId="90" xfId="1" applyFont="1" applyFill="1" applyBorder="1" applyAlignment="1"/>
    <xf numFmtId="0" fontId="51" fillId="0" borderId="1" xfId="1" applyFont="1" applyFill="1" applyBorder="1" applyAlignment="1"/>
    <xf numFmtId="0" fontId="51" fillId="0" borderId="1" xfId="1" applyFont="1" applyFill="1" applyBorder="1" applyAlignment="1">
      <alignment vertical="top"/>
    </xf>
    <xf numFmtId="0" fontId="51" fillId="0" borderId="1" xfId="3" applyFont="1" applyFill="1" applyBorder="1" applyAlignment="1"/>
    <xf numFmtId="0" fontId="21" fillId="0" borderId="64" xfId="1" applyFont="1" applyBorder="1" applyAlignment="1">
      <alignment vertical="top"/>
    </xf>
    <xf numFmtId="0" fontId="21" fillId="0" borderId="59" xfId="1" applyFont="1" applyBorder="1" applyAlignment="1">
      <alignment vertical="top"/>
    </xf>
    <xf numFmtId="0" fontId="4" fillId="0" borderId="2" xfId="1" applyFont="1" applyBorder="1" applyAlignment="1">
      <alignment vertical="top"/>
    </xf>
    <xf numFmtId="0" fontId="7" fillId="0" borderId="62" xfId="3" applyFill="1" applyBorder="1" applyAlignment="1"/>
    <xf numFmtId="0" fontId="1" fillId="23" borderId="87" xfId="1" applyFont="1" applyFill="1" applyBorder="1" applyAlignment="1"/>
    <xf numFmtId="0" fontId="7" fillId="0" borderId="92" xfId="3" applyFill="1" applyBorder="1" applyAlignment="1"/>
    <xf numFmtId="0" fontId="4" fillId="5" borderId="95" xfId="1" applyFont="1" applyFill="1" applyBorder="1" applyAlignment="1"/>
    <xf numFmtId="0" fontId="4" fillId="5" borderId="96" xfId="1" applyFont="1" applyFill="1" applyBorder="1" applyAlignment="1"/>
    <xf numFmtId="0" fontId="51" fillId="0" borderId="59" xfId="0" applyFont="1" applyFill="1" applyBorder="1" applyAlignment="1"/>
    <xf numFmtId="0" fontId="51" fillId="0" borderId="59" xfId="1" applyFont="1" applyFill="1" applyBorder="1" applyAlignment="1"/>
    <xf numFmtId="0" fontId="7" fillId="0" borderId="0" xfId="3"/>
    <xf numFmtId="0" fontId="1" fillId="0" borderId="0" xfId="14" applyFont="1" applyFill="1"/>
    <xf numFmtId="0" fontId="1" fillId="2" borderId="0" xfId="14" applyFont="1" applyFill="1"/>
    <xf numFmtId="0" fontId="1" fillId="0" borderId="0" xfId="13" applyFont="1"/>
    <xf numFmtId="0" fontId="4" fillId="0" borderId="97" xfId="19" applyFont="1" applyBorder="1" applyAlignment="1">
      <alignment horizontal="center"/>
    </xf>
    <xf numFmtId="0" fontId="4" fillId="0" borderId="3" xfId="19" applyFont="1" applyBorder="1"/>
    <xf numFmtId="0" fontId="4" fillId="0" borderId="3" xfId="19" applyFont="1" applyFill="1" applyBorder="1" applyAlignment="1">
      <alignment horizontal="center"/>
    </xf>
    <xf numFmtId="0" fontId="4" fillId="0" borderId="3" xfId="19" applyFont="1" applyBorder="1" applyAlignment="1">
      <alignment horizontal="center"/>
    </xf>
    <xf numFmtId="0" fontId="27" fillId="0" borderId="0" xfId="19" applyFont="1" applyAlignment="1">
      <alignment horizontal="center"/>
    </xf>
    <xf numFmtId="0" fontId="4" fillId="0" borderId="0" xfId="14" applyFont="1" applyFill="1" applyAlignment="1">
      <alignment horizontal="center"/>
    </xf>
    <xf numFmtId="0" fontId="4" fillId="0" borderId="0" xfId="19" quotePrefix="1" applyFont="1" applyAlignment="1">
      <alignment horizontal="center"/>
    </xf>
    <xf numFmtId="0" fontId="1" fillId="0" borderId="0" xfId="19" applyFont="1" applyAlignment="1"/>
    <xf numFmtId="0" fontId="1" fillId="0" borderId="97" xfId="19" applyFont="1" applyBorder="1" applyAlignment="1"/>
    <xf numFmtId="0" fontId="0" fillId="0" borderId="3" xfId="19" applyFont="1" applyBorder="1"/>
    <xf numFmtId="0" fontId="1" fillId="13" borderId="3" xfId="19" applyFont="1" applyFill="1" applyBorder="1" applyAlignment="1">
      <alignment horizontal="center"/>
    </xf>
    <xf numFmtId="0" fontId="1" fillId="0" borderId="3" xfId="19" applyFont="1" applyFill="1" applyBorder="1" applyAlignment="1">
      <alignment horizontal="center"/>
    </xf>
    <xf numFmtId="0" fontId="0" fillId="0" borderId="3" xfId="19" applyNumberFormat="1" applyFont="1" applyFill="1" applyBorder="1" applyAlignment="1">
      <alignment horizontal="center"/>
    </xf>
    <xf numFmtId="0" fontId="27" fillId="0" borderId="0" xfId="19" applyFont="1" applyFill="1" applyBorder="1" applyAlignment="1">
      <alignment horizontal="center"/>
    </xf>
    <xf numFmtId="164" fontId="1" fillId="0" borderId="0" xfId="14" applyNumberFormat="1" applyFont="1" applyFill="1" applyAlignment="1">
      <alignment horizontal="center"/>
    </xf>
    <xf numFmtId="0" fontId="1" fillId="0" borderId="0" xfId="19" applyFont="1" applyFill="1" applyBorder="1" applyAlignment="1">
      <alignment horizontal="right"/>
    </xf>
    <xf numFmtId="1" fontId="27" fillId="0" borderId="0" xfId="19" applyNumberFormat="1" applyFont="1" applyFill="1" applyBorder="1" applyAlignment="1">
      <alignment horizontal="center"/>
    </xf>
    <xf numFmtId="0" fontId="0" fillId="0" borderId="0" xfId="19" applyFont="1" applyAlignment="1"/>
    <xf numFmtId="0" fontId="1" fillId="0" borderId="0" xfId="14" applyFont="1" applyAlignment="1">
      <alignment horizontal="left"/>
    </xf>
    <xf numFmtId="0" fontId="0" fillId="0" borderId="3" xfId="0" applyBorder="1"/>
    <xf numFmtId="164" fontId="1" fillId="0" borderId="0" xfId="13" applyNumberFormat="1" applyFont="1" applyFill="1" applyAlignment="1">
      <alignment horizontal="center"/>
    </xf>
    <xf numFmtId="0" fontId="16" fillId="0" borderId="3" xfId="19" applyFont="1" applyFill="1" applyBorder="1" applyAlignment="1">
      <alignment horizontal="center"/>
    </xf>
    <xf numFmtId="0" fontId="0" fillId="0" borderId="3" xfId="0" applyFill="1" applyBorder="1"/>
    <xf numFmtId="0" fontId="1" fillId="0" borderId="3" xfId="19" applyFont="1" applyBorder="1" applyAlignment="1">
      <alignment horizontal="center"/>
    </xf>
    <xf numFmtId="0" fontId="4" fillId="0" borderId="0" xfId="19" applyFont="1" applyBorder="1"/>
    <xf numFmtId="0" fontId="38" fillId="0" borderId="0" xfId="14" applyFont="1" applyFill="1"/>
    <xf numFmtId="0" fontId="1" fillId="0" borderId="0" xfId="19" applyFont="1" applyBorder="1" applyAlignment="1">
      <alignment horizontal="center"/>
    </xf>
    <xf numFmtId="16" fontId="1" fillId="0" borderId="0" xfId="19" applyNumberFormat="1" applyFont="1" applyBorder="1" applyAlignment="1">
      <alignment horizontal="center"/>
    </xf>
    <xf numFmtId="0" fontId="1" fillId="0" borderId="0" xfId="19" applyFont="1" applyFill="1" applyBorder="1" applyAlignment="1">
      <alignment horizontal="center"/>
    </xf>
    <xf numFmtId="49" fontId="1" fillId="0" borderId="0" xfId="19" applyNumberFormat="1" applyFont="1" applyFill="1" applyBorder="1" applyAlignment="1">
      <alignment horizontal="center"/>
    </xf>
    <xf numFmtId="0" fontId="38" fillId="0" borderId="0" xfId="19" applyFont="1" applyFill="1" applyAlignment="1"/>
    <xf numFmtId="0" fontId="1" fillId="0" borderId="0" xfId="14" applyFont="1" applyFill="1" applyAlignment="1">
      <alignment horizontal="center"/>
    </xf>
    <xf numFmtId="0" fontId="1" fillId="0" borderId="0" xfId="14" applyFont="1" applyFill="1" applyAlignment="1">
      <alignment horizontal="right"/>
    </xf>
    <xf numFmtId="49" fontId="1" fillId="0" borderId="0" xfId="19" applyNumberFormat="1" applyFont="1" applyAlignment="1"/>
    <xf numFmtId="0" fontId="27" fillId="0" borderId="0" xfId="19" applyFont="1" applyFill="1" applyAlignment="1">
      <alignment horizontal="center"/>
    </xf>
    <xf numFmtId="0" fontId="4" fillId="0" borderId="0" xfId="19" quotePrefix="1" applyFont="1" applyFill="1" applyAlignment="1">
      <alignment horizontal="center"/>
    </xf>
    <xf numFmtId="0" fontId="1" fillId="0" borderId="0" xfId="19" applyFont="1" applyFill="1" applyAlignment="1"/>
    <xf numFmtId="0" fontId="0" fillId="0" borderId="0" xfId="13" applyFont="1"/>
    <xf numFmtId="0" fontId="0" fillId="0" borderId="0" xfId="14" applyFont="1" applyFill="1" applyAlignment="1">
      <alignment horizontal="center"/>
    </xf>
    <xf numFmtId="0" fontId="4" fillId="0" borderId="0" xfId="19" applyFont="1"/>
    <xf numFmtId="0" fontId="1" fillId="0" borderId="0" xfId="19" applyFont="1" applyFill="1"/>
    <xf numFmtId="0" fontId="1" fillId="0" borderId="0" xfId="19" applyFont="1" applyAlignment="1">
      <alignment horizontal="center"/>
    </xf>
    <xf numFmtId="49" fontId="1" fillId="0" borderId="0" xfId="19" applyNumberFormat="1" applyFont="1" applyFill="1" applyAlignment="1">
      <alignment horizontal="center"/>
    </xf>
    <xf numFmtId="0" fontId="1" fillId="0" borderId="0" xfId="19" applyFont="1" applyFill="1" applyAlignment="1">
      <alignment horizontal="center"/>
    </xf>
    <xf numFmtId="0" fontId="1" fillId="0" borderId="0" xfId="13" applyFont="1" applyFill="1"/>
    <xf numFmtId="0" fontId="1" fillId="0" borderId="0" xfId="13" applyFont="1" applyFill="1" applyAlignment="1">
      <alignment horizontal="right"/>
    </xf>
    <xf numFmtId="0" fontId="1" fillId="0" borderId="0" xfId="19" applyFont="1" applyBorder="1" applyAlignment="1"/>
    <xf numFmtId="49" fontId="0" fillId="0" borderId="0" xfId="19" applyNumberFormat="1" applyFont="1" applyFill="1" applyBorder="1" applyAlignment="1">
      <alignment horizontal="center"/>
    </xf>
    <xf numFmtId="0" fontId="16" fillId="0" borderId="0" xfId="19" applyFont="1" applyFill="1" applyBorder="1" applyAlignment="1">
      <alignment horizontal="center"/>
    </xf>
    <xf numFmtId="0" fontId="1" fillId="0" borderId="0" xfId="19" applyFont="1" applyFill="1" applyAlignment="1">
      <alignment horizontal="right"/>
    </xf>
    <xf numFmtId="0" fontId="1" fillId="0" borderId="0" xfId="19" applyFont="1" applyBorder="1" applyAlignment="1">
      <alignment horizontal="right"/>
    </xf>
    <xf numFmtId="49" fontId="1" fillId="0" borderId="0" xfId="19" applyNumberFormat="1" applyFont="1" applyBorder="1" applyAlignment="1">
      <alignment horizontal="center"/>
    </xf>
    <xf numFmtId="0" fontId="0" fillId="0" borderId="0" xfId="19" applyFont="1" applyBorder="1"/>
    <xf numFmtId="0" fontId="1" fillId="0" borderId="0" xfId="10" applyFont="1" applyAlignment="1"/>
    <xf numFmtId="0" fontId="33" fillId="0" borderId="0" xfId="19" applyFont="1" applyBorder="1"/>
    <xf numFmtId="0" fontId="1" fillId="0" borderId="0" xfId="19" applyFont="1" applyBorder="1"/>
    <xf numFmtId="0" fontId="4" fillId="0" borderId="0" xfId="19" applyFont="1" applyFill="1" applyBorder="1" applyAlignment="1">
      <alignment horizontal="right"/>
    </xf>
    <xf numFmtId="0" fontId="0" fillId="0" borderId="0" xfId="19" applyFont="1" applyFill="1"/>
    <xf numFmtId="0" fontId="1" fillId="0" borderId="0" xfId="19" applyFont="1" applyAlignment="1">
      <alignment horizontal="left"/>
    </xf>
    <xf numFmtId="0" fontId="4" fillId="0" borderId="0" xfId="19" applyFont="1" applyAlignment="1">
      <alignment horizontal="right"/>
    </xf>
    <xf numFmtId="0" fontId="1" fillId="0" borderId="98" xfId="19" applyFont="1" applyFill="1" applyBorder="1"/>
    <xf numFmtId="0" fontId="0" fillId="0" borderId="99" xfId="19" applyFont="1" applyBorder="1"/>
    <xf numFmtId="0" fontId="0" fillId="0" borderId="100" xfId="19" applyFont="1" applyFill="1" applyBorder="1"/>
    <xf numFmtId="0" fontId="1" fillId="0" borderId="27" xfId="19" applyFont="1" applyBorder="1" applyAlignment="1">
      <alignment horizontal="left"/>
    </xf>
    <xf numFmtId="0" fontId="1" fillId="0" borderId="101" xfId="19" applyFont="1" applyBorder="1"/>
    <xf numFmtId="0" fontId="1" fillId="0" borderId="102" xfId="19" applyFont="1" applyBorder="1"/>
    <xf numFmtId="0" fontId="1" fillId="0" borderId="36" xfId="19" applyFont="1" applyBorder="1"/>
    <xf numFmtId="0" fontId="1" fillId="0" borderId="100" xfId="19" applyFont="1" applyBorder="1"/>
    <xf numFmtId="0" fontId="0" fillId="0" borderId="103" xfId="19" applyFont="1" applyBorder="1"/>
    <xf numFmtId="0" fontId="1" fillId="0" borderId="104" xfId="19" applyFont="1" applyBorder="1"/>
    <xf numFmtId="0" fontId="4" fillId="0" borderId="105" xfId="19" applyFont="1" applyBorder="1"/>
    <xf numFmtId="0" fontId="1" fillId="0" borderId="105" xfId="19" applyFont="1" applyBorder="1"/>
    <xf numFmtId="0" fontId="1" fillId="0" borderId="103" xfId="19" applyFont="1" applyBorder="1"/>
    <xf numFmtId="0" fontId="0" fillId="0" borderId="106" xfId="19" applyFont="1" applyBorder="1"/>
    <xf numFmtId="0" fontId="1" fillId="0" borderId="101" xfId="19" applyFont="1" applyBorder="1" applyAlignment="1">
      <alignment horizontal="left"/>
    </xf>
    <xf numFmtId="0" fontId="1" fillId="0" borderId="100" xfId="19" applyFont="1" applyBorder="1" applyAlignment="1">
      <alignment horizontal="left"/>
    </xf>
    <xf numFmtId="0" fontId="1" fillId="0" borderId="0" xfId="19" applyFont="1" applyBorder="1" applyAlignment="1">
      <alignment horizontal="left"/>
    </xf>
    <xf numFmtId="0" fontId="1" fillId="0" borderId="102" xfId="19" applyFont="1" applyBorder="1" applyAlignment="1">
      <alignment horizontal="left"/>
    </xf>
    <xf numFmtId="0" fontId="1" fillId="0" borderId="104" xfId="19" applyFont="1" applyBorder="1" applyAlignment="1">
      <alignment horizontal="left"/>
    </xf>
    <xf numFmtId="0" fontId="4" fillId="0" borderId="0" xfId="19" applyFont="1" applyBorder="1" applyAlignment="1"/>
    <xf numFmtId="0" fontId="1" fillId="0" borderId="0" xfId="19" applyFont="1" applyFill="1" applyBorder="1" applyAlignment="1"/>
    <xf numFmtId="0" fontId="4" fillId="0" borderId="3" xfId="19" applyFont="1" applyFill="1" applyBorder="1" applyAlignment="1"/>
    <xf numFmtId="0" fontId="1" fillId="0" borderId="3" xfId="19" applyNumberFormat="1" applyFont="1" applyFill="1" applyBorder="1" applyAlignment="1">
      <alignment horizontal="center"/>
    </xf>
    <xf numFmtId="0" fontId="0" fillId="0" borderId="3" xfId="19" applyFont="1" applyFill="1" applyBorder="1" applyAlignment="1">
      <alignment horizontal="center"/>
    </xf>
    <xf numFmtId="0" fontId="0" fillId="0" borderId="3" xfId="9" applyNumberFormat="1" applyFont="1" applyFill="1" applyBorder="1" applyAlignment="1"/>
    <xf numFmtId="0" fontId="1" fillId="5" borderId="3" xfId="19" applyFont="1" applyFill="1" applyBorder="1" applyAlignment="1">
      <alignment horizontal="center"/>
    </xf>
    <xf numFmtId="0" fontId="0" fillId="0" borderId="3" xfId="19" applyNumberFormat="1" applyFont="1" applyFill="1" applyBorder="1" applyAlignment="1"/>
    <xf numFmtId="0" fontId="38" fillId="0" borderId="0" xfId="1" applyFont="1"/>
    <xf numFmtId="0" fontId="1" fillId="0" borderId="98" xfId="19" applyFont="1" applyBorder="1"/>
    <xf numFmtId="0" fontId="1" fillId="0" borderId="98" xfId="19" applyFont="1" applyBorder="1" applyAlignment="1">
      <alignment horizontal="left"/>
    </xf>
    <xf numFmtId="0" fontId="4" fillId="10" borderId="3" xfId="9" applyFont="1" applyFill="1" applyBorder="1" applyAlignment="1"/>
    <xf numFmtId="0" fontId="1" fillId="2" borderId="3" xfId="9" applyFont="1" applyFill="1" applyBorder="1" applyAlignment="1"/>
    <xf numFmtId="0" fontId="1" fillId="11" borderId="3" xfId="9" applyFont="1" applyFill="1" applyBorder="1" applyAlignment="1"/>
    <xf numFmtId="0" fontId="4" fillId="0" borderId="0" xfId="19" applyFont="1" applyFill="1" applyAlignment="1">
      <alignment horizontal="right"/>
    </xf>
    <xf numFmtId="0" fontId="4" fillId="0" borderId="0" xfId="19" applyFont="1" applyFill="1"/>
    <xf numFmtId="0" fontId="4" fillId="2" borderId="0" xfId="1" applyFont="1" applyFill="1" applyAlignment="1">
      <alignment vertical="top"/>
    </xf>
    <xf numFmtId="0" fontId="0" fillId="0" borderId="0" xfId="1" applyFont="1" applyFill="1" applyAlignment="1"/>
    <xf numFmtId="0" fontId="7" fillId="0" borderId="33" xfId="3" applyFill="1" applyBorder="1" applyAlignment="1"/>
    <xf numFmtId="0" fontId="1" fillId="2" borderId="0" xfId="1" applyFont="1" applyFill="1"/>
    <xf numFmtId="0" fontId="53" fillId="0" borderId="0" xfId="1" applyFont="1"/>
    <xf numFmtId="0" fontId="4" fillId="8" borderId="97" xfId="1" applyFont="1" applyFill="1" applyBorder="1" applyAlignment="1">
      <alignment horizontal="center"/>
    </xf>
    <xf numFmtId="0" fontId="1" fillId="0" borderId="97" xfId="1" applyFont="1" applyBorder="1"/>
    <xf numFmtId="0" fontId="4" fillId="0" borderId="97" xfId="1" applyFont="1" applyBorder="1" applyAlignment="1">
      <alignment horizontal="center"/>
    </xf>
    <xf numFmtId="0" fontId="1" fillId="0" borderId="97" xfId="1" applyFont="1" applyBorder="1" applyAlignment="1">
      <alignment horizontal="center"/>
    </xf>
    <xf numFmtId="0" fontId="1" fillId="2" borderId="97" xfId="1" applyFont="1" applyFill="1" applyBorder="1"/>
    <xf numFmtId="0" fontId="1" fillId="2" borderId="97" xfId="1" applyFont="1" applyFill="1" applyBorder="1" applyAlignment="1">
      <alignment horizontal="center"/>
    </xf>
    <xf numFmtId="0" fontId="1" fillId="2" borderId="97" xfId="1" applyFont="1" applyFill="1" applyBorder="1" applyAlignment="1"/>
    <xf numFmtId="0" fontId="0" fillId="0" borderId="103" xfId="19" applyFont="1" applyFill="1" applyBorder="1"/>
    <xf numFmtId="0" fontId="43" fillId="0" borderId="33" xfId="3" applyFont="1" applyFill="1" applyBorder="1" applyAlignment="1"/>
    <xf numFmtId="0" fontId="7" fillId="0" borderId="43" xfId="3" applyFill="1" applyBorder="1" applyAlignment="1"/>
    <xf numFmtId="0" fontId="7" fillId="0" borderId="2" xfId="3" applyFill="1" applyBorder="1" applyAlignment="1">
      <alignment horizontal="center"/>
    </xf>
    <xf numFmtId="0" fontId="7" fillId="0" borderId="56" xfId="3" applyFill="1" applyBorder="1" applyAlignment="1">
      <alignment horizontal="center"/>
    </xf>
    <xf numFmtId="0" fontId="0" fillId="8" borderId="7" xfId="16" applyFont="1" applyFill="1" applyBorder="1" applyAlignment="1">
      <alignment horizontal="center"/>
    </xf>
    <xf numFmtId="0" fontId="7" fillId="20" borderId="33" xfId="3" applyFill="1" applyBorder="1" applyAlignment="1"/>
    <xf numFmtId="0" fontId="7" fillId="7" borderId="34" xfId="3" applyFill="1" applyBorder="1" applyAlignment="1"/>
    <xf numFmtId="0" fontId="0" fillId="0" borderId="0" xfId="0" applyFont="1" applyAlignment="1">
      <alignment horizontal="right"/>
    </xf>
    <xf numFmtId="0" fontId="1" fillId="2" borderId="0" xfId="1" applyFont="1" applyFill="1" applyBorder="1" applyAlignment="1"/>
    <xf numFmtId="0" fontId="1" fillId="0" borderId="0" xfId="1" applyFont="1" applyBorder="1" applyAlignment="1">
      <alignment horizontal="center"/>
    </xf>
    <xf numFmtId="0" fontId="0" fillId="0" borderId="0" xfId="1" applyFont="1" applyAlignment="1">
      <alignment horizontal="right"/>
    </xf>
    <xf numFmtId="0" fontId="4" fillId="10" borderId="0" xfId="1" applyFont="1" applyFill="1" applyBorder="1" applyAlignment="1"/>
    <xf numFmtId="0" fontId="1" fillId="10" borderId="61" xfId="1" applyFont="1" applyFill="1" applyBorder="1" applyAlignment="1"/>
    <xf numFmtId="0" fontId="7" fillId="10" borderId="0" xfId="3" applyFill="1" applyBorder="1" applyAlignment="1"/>
    <xf numFmtId="0" fontId="55" fillId="0" borderId="0" xfId="0" applyFont="1" applyAlignment="1">
      <alignment vertical="center" wrapText="1"/>
    </xf>
    <xf numFmtId="0" fontId="0" fillId="0" borderId="0" xfId="0" applyAlignment="1">
      <alignment wrapText="1"/>
    </xf>
    <xf numFmtId="0" fontId="38" fillId="8" borderId="56" xfId="1" applyFont="1" applyFill="1" applyBorder="1" applyAlignment="1"/>
    <xf numFmtId="0" fontId="7" fillId="21" borderId="2" xfId="3" applyFill="1" applyBorder="1" applyAlignment="1"/>
    <xf numFmtId="0" fontId="1" fillId="21" borderId="59" xfId="1" applyFont="1" applyFill="1" applyBorder="1" applyAlignment="1"/>
    <xf numFmtId="0" fontId="1" fillId="0" borderId="108" xfId="10" applyFont="1" applyFill="1" applyBorder="1" applyAlignment="1"/>
    <xf numFmtId="0" fontId="28" fillId="0" borderId="108" xfId="16" applyFont="1" applyFill="1" applyBorder="1" applyAlignment="1">
      <alignment horizontal="center"/>
    </xf>
    <xf numFmtId="0" fontId="46" fillId="0" borderId="108" xfId="16" applyFont="1" applyFill="1" applyBorder="1" applyAlignment="1">
      <alignment horizontal="center"/>
    </xf>
    <xf numFmtId="0" fontId="1" fillId="8" borderId="108" xfId="16" applyFont="1" applyFill="1" applyBorder="1" applyAlignment="1">
      <alignment horizontal="center"/>
    </xf>
    <xf numFmtId="0" fontId="1" fillId="0" borderId="108" xfId="14" applyFont="1" applyFill="1" applyBorder="1" applyAlignment="1"/>
    <xf numFmtId="0" fontId="7" fillId="8" borderId="33" xfId="3" applyNumberFormat="1" applyFill="1" applyBorder="1" applyAlignment="1"/>
    <xf numFmtId="0" fontId="44" fillId="0" borderId="0" xfId="1" applyNumberFormat="1" applyFont="1" applyBorder="1" applyAlignment="1"/>
    <xf numFmtId="0" fontId="7" fillId="21" borderId="33" xfId="3" applyFill="1" applyBorder="1" applyAlignment="1"/>
    <xf numFmtId="0" fontId="1" fillId="0" borderId="27" xfId="5" applyFont="1" applyFill="1" applyBorder="1" applyAlignment="1">
      <alignment textRotation="90"/>
    </xf>
    <xf numFmtId="0" fontId="1" fillId="0" borderId="0" xfId="5" applyFont="1" applyFill="1" applyAlignment="1">
      <alignment horizontal="center" textRotation="90"/>
    </xf>
    <xf numFmtId="0" fontId="1" fillId="0" borderId="0" xfId="5" applyFont="1" applyFill="1" applyAlignment="1">
      <alignment textRotation="90"/>
    </xf>
    <xf numFmtId="0" fontId="4" fillId="0" borderId="0" xfId="0" applyFont="1"/>
    <xf numFmtId="0" fontId="1" fillId="10" borderId="0" xfId="19" applyFont="1" applyFill="1" applyAlignment="1">
      <alignment horizontal="left"/>
    </xf>
    <xf numFmtId="164" fontId="1" fillId="0" borderId="0" xfId="33" applyNumberFormat="1" applyFont="1" applyFill="1" applyAlignment="1">
      <alignment horizontal="center"/>
    </xf>
    <xf numFmtId="0" fontId="4" fillId="0" borderId="0" xfId="0" applyFont="1" applyAlignment="1">
      <alignment horizontal="right"/>
    </xf>
    <xf numFmtId="0" fontId="1" fillId="0" borderId="0" xfId="33" applyFont="1"/>
    <xf numFmtId="0" fontId="1" fillId="0" borderId="0" xfId="33" applyFont="1" applyFill="1"/>
    <xf numFmtId="0" fontId="1" fillId="0" borderId="0" xfId="33" applyFont="1" applyFill="1" applyAlignment="1">
      <alignment horizontal="right"/>
    </xf>
    <xf numFmtId="0" fontId="1" fillId="0" borderId="109" xfId="19" applyFont="1" applyFill="1" applyBorder="1"/>
    <xf numFmtId="0" fontId="1" fillId="0" borderId="110" xfId="19" applyFont="1" applyBorder="1"/>
    <xf numFmtId="0" fontId="1" fillId="0" borderId="109" xfId="19" applyFont="1" applyBorder="1"/>
    <xf numFmtId="0" fontId="1" fillId="0" borderId="109" xfId="19" applyFont="1" applyBorder="1" applyAlignment="1">
      <alignment horizontal="left"/>
    </xf>
    <xf numFmtId="0" fontId="1" fillId="0" borderId="110" xfId="19" applyFont="1" applyBorder="1" applyAlignment="1">
      <alignment horizontal="left"/>
    </xf>
    <xf numFmtId="0" fontId="1" fillId="14" borderId="0" xfId="19" applyFont="1" applyFill="1" applyAlignment="1">
      <alignment horizontal="left"/>
    </xf>
    <xf numFmtId="0" fontId="1" fillId="14" borderId="27" xfId="19" applyFont="1" applyFill="1" applyBorder="1" applyAlignment="1">
      <alignment horizontal="left"/>
    </xf>
    <xf numFmtId="0" fontId="1" fillId="0" borderId="0" xfId="19" applyFont="1" applyFill="1" applyAlignment="1">
      <alignment horizontal="left"/>
    </xf>
    <xf numFmtId="0" fontId="4" fillId="0" borderId="0" xfId="14" applyFont="1" applyAlignment="1">
      <alignment horizontal="right"/>
    </xf>
    <xf numFmtId="0" fontId="0" fillId="0" borderId="106" xfId="19" applyFont="1" applyFill="1" applyBorder="1"/>
    <xf numFmtId="0" fontId="1" fillId="0" borderId="97" xfId="1" applyFont="1" applyFill="1" applyBorder="1"/>
    <xf numFmtId="0" fontId="1" fillId="0" borderId="97" xfId="19" applyFont="1" applyBorder="1"/>
    <xf numFmtId="0" fontId="0" fillId="0" borderId="3" xfId="19" applyNumberFormat="1" applyFont="1" applyFill="1" applyBorder="1" applyAlignment="1">
      <alignment wrapText="1"/>
    </xf>
    <xf numFmtId="0" fontId="4" fillId="0" borderId="0" xfId="0" applyFont="1" applyAlignment="1">
      <alignment horizontal="center"/>
    </xf>
    <xf numFmtId="0" fontId="0" fillId="0" borderId="0" xfId="0" applyFont="1" applyFill="1" applyAlignment="1">
      <alignment horizontal="center"/>
    </xf>
    <xf numFmtId="0" fontId="0" fillId="0" borderId="0" xfId="0" applyFont="1" applyAlignment="1">
      <alignment horizontal="center"/>
    </xf>
    <xf numFmtId="164" fontId="1" fillId="0" borderId="0" xfId="9" applyNumberFormat="1" applyFont="1" applyFill="1" applyBorder="1" applyAlignment="1">
      <alignment horizontal="center"/>
    </xf>
    <xf numFmtId="164" fontId="0" fillId="0" borderId="3" xfId="0" applyNumberFormat="1" applyFont="1" applyFill="1" applyBorder="1"/>
    <xf numFmtId="0" fontId="0" fillId="19" borderId="3" xfId="0" applyFont="1" applyFill="1" applyBorder="1" applyAlignment="1">
      <alignment horizontal="center"/>
    </xf>
    <xf numFmtId="0" fontId="0" fillId="0" borderId="0" xfId="0" applyFill="1"/>
    <xf numFmtId="0" fontId="0" fillId="24" borderId="3" xfId="0" applyFont="1" applyFill="1" applyBorder="1" applyAlignment="1">
      <alignment horizontal="center"/>
    </xf>
    <xf numFmtId="0" fontId="0" fillId="25" borderId="0" xfId="0" applyFill="1" applyAlignment="1">
      <alignment horizontal="center"/>
    </xf>
    <xf numFmtId="164" fontId="4" fillId="25" borderId="3" xfId="9" applyNumberFormat="1" applyFont="1" applyFill="1" applyBorder="1" applyAlignment="1">
      <alignment horizontal="center"/>
    </xf>
    <xf numFmtId="164" fontId="4" fillId="14" borderId="3" xfId="9" applyNumberFormat="1" applyFont="1" applyFill="1" applyBorder="1" applyAlignment="1">
      <alignment horizontal="center"/>
    </xf>
    <xf numFmtId="0" fontId="0" fillId="0" borderId="0" xfId="0"/>
    <xf numFmtId="0" fontId="0" fillId="14" borderId="0" xfId="0" applyFill="1" applyAlignment="1">
      <alignment horizontal="center"/>
    </xf>
    <xf numFmtId="0" fontId="0" fillId="0" borderId="0" xfId="0" applyFill="1" applyAlignment="1">
      <alignment horizontal="center"/>
    </xf>
    <xf numFmtId="0" fontId="0" fillId="8" borderId="0" xfId="0" applyFill="1" applyAlignment="1">
      <alignment horizontal="center"/>
    </xf>
    <xf numFmtId="164" fontId="4" fillId="8" borderId="3" xfId="9" applyNumberFormat="1" applyFont="1" applyFill="1" applyBorder="1" applyAlignment="1">
      <alignment horizontal="center"/>
    </xf>
    <xf numFmtId="0" fontId="0" fillId="7" borderId="0" xfId="0" applyFill="1" applyAlignment="1">
      <alignment horizontal="center"/>
    </xf>
    <xf numFmtId="164" fontId="4" fillId="7" borderId="3" xfId="9" applyNumberFormat="1" applyFont="1" applyFill="1" applyBorder="1" applyAlignment="1">
      <alignment horizontal="center"/>
    </xf>
    <xf numFmtId="0" fontId="0" fillId="12" borderId="0" xfId="0" applyFill="1" applyAlignment="1">
      <alignment horizontal="center"/>
    </xf>
    <xf numFmtId="164" fontId="4" fillId="12" borderId="3" xfId="9" applyNumberFormat="1" applyFont="1" applyFill="1" applyBorder="1" applyAlignment="1">
      <alignment horizontal="center"/>
    </xf>
    <xf numFmtId="164" fontId="4" fillId="26" borderId="3" xfId="9" applyNumberFormat="1" applyFont="1" applyFill="1" applyBorder="1" applyAlignment="1">
      <alignment horizontal="center"/>
    </xf>
    <xf numFmtId="0" fontId="0" fillId="26" borderId="0" xfId="0" applyFill="1" applyAlignment="1">
      <alignment horizontal="center"/>
    </xf>
    <xf numFmtId="0" fontId="0" fillId="10" borderId="0" xfId="0" applyFill="1" applyAlignment="1">
      <alignment horizontal="center"/>
    </xf>
    <xf numFmtId="0" fontId="33" fillId="0" borderId="0" xfId="0" applyFont="1"/>
    <xf numFmtId="0" fontId="4" fillId="27" borderId="3" xfId="0" applyFont="1" applyFill="1" applyBorder="1" applyAlignment="1">
      <alignment horizontal="center"/>
    </xf>
    <xf numFmtId="0" fontId="0" fillId="10" borderId="3"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28" borderId="5" xfId="0" applyFont="1" applyFill="1" applyBorder="1" applyAlignment="1">
      <alignment horizontal="center"/>
    </xf>
    <xf numFmtId="0" fontId="0" fillId="28" borderId="0" xfId="0" applyFill="1" applyAlignment="1">
      <alignment horizontal="center"/>
    </xf>
    <xf numFmtId="0" fontId="4" fillId="0" borderId="5" xfId="0" applyNumberFormat="1" applyFont="1" applyFill="1" applyBorder="1" applyAlignment="1">
      <alignment horizontal="center"/>
    </xf>
    <xf numFmtId="0" fontId="4" fillId="0" borderId="4"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xf numFmtId="0" fontId="54" fillId="0" borderId="3" xfId="0" applyFont="1" applyBorder="1" applyAlignment="1">
      <alignment horizontal="center"/>
    </xf>
    <xf numFmtId="0" fontId="54" fillId="0" borderId="3" xfId="0" applyFont="1" applyBorder="1"/>
    <xf numFmtId="0" fontId="41" fillId="0" borderId="3" xfId="0" applyFont="1" applyFill="1" applyBorder="1"/>
    <xf numFmtId="164" fontId="41" fillId="0" borderId="3" xfId="0" applyNumberFormat="1" applyFont="1" applyFill="1" applyBorder="1"/>
    <xf numFmtId="0" fontId="0" fillId="29" borderId="0" xfId="0" applyFill="1" applyAlignment="1">
      <alignment horizontal="center"/>
    </xf>
    <xf numFmtId="164" fontId="4" fillId="29" borderId="3" xfId="9" applyNumberFormat="1" applyFont="1" applyFill="1" applyBorder="1" applyAlignment="1">
      <alignment horizontal="center"/>
    </xf>
    <xf numFmtId="0" fontId="56" fillId="0" borderId="1" xfId="3" applyFont="1" applyFill="1" applyBorder="1" applyAlignment="1">
      <alignment vertical="top"/>
    </xf>
    <xf numFmtId="0" fontId="56" fillId="0" borderId="64" xfId="3" applyFont="1" applyFill="1" applyBorder="1" applyAlignment="1"/>
    <xf numFmtId="0" fontId="7" fillId="16" borderId="33" xfId="3" applyNumberFormat="1" applyFill="1" applyBorder="1" applyAlignment="1"/>
    <xf numFmtId="0" fontId="36" fillId="7" borderId="34" xfId="3" applyFont="1" applyFill="1" applyBorder="1" applyAlignment="1"/>
    <xf numFmtId="0" fontId="58" fillId="0" borderId="0" xfId="1" applyFont="1" applyFill="1"/>
    <xf numFmtId="0" fontId="16" fillId="0" borderId="0" xfId="1" applyFont="1" applyFill="1"/>
    <xf numFmtId="0" fontId="33" fillId="0" borderId="0" xfId="1" applyFont="1" applyFill="1"/>
    <xf numFmtId="0" fontId="4" fillId="0" borderId="0" xfId="1" applyFont="1" applyFill="1" applyBorder="1" applyAlignment="1">
      <alignment horizontal="right"/>
    </xf>
    <xf numFmtId="0" fontId="1" fillId="0" borderId="0" xfId="1" applyFont="1" applyFill="1" applyAlignment="1">
      <alignment horizontal="left"/>
    </xf>
    <xf numFmtId="0" fontId="4" fillId="0" borderId="0" xfId="1" applyFont="1" applyFill="1" applyAlignment="1">
      <alignment horizontal="right"/>
    </xf>
    <xf numFmtId="0" fontId="34" fillId="0" borderId="109" xfId="1" applyFont="1" applyFill="1" applyBorder="1" applyAlignment="1"/>
    <xf numFmtId="0" fontId="1" fillId="0" borderId="106" xfId="1" applyFont="1" applyFill="1" applyBorder="1"/>
    <xf numFmtId="0" fontId="34" fillId="0" borderId="102" xfId="1" applyFont="1" applyFill="1" applyBorder="1"/>
    <xf numFmtId="0" fontId="1" fillId="0" borderId="0" xfId="1" applyFont="1" applyFill="1" applyBorder="1"/>
    <xf numFmtId="0" fontId="16" fillId="0" borderId="102" xfId="1" applyFont="1" applyFill="1" applyBorder="1" applyAlignment="1">
      <alignment horizontal="left"/>
    </xf>
    <xf numFmtId="0" fontId="1" fillId="0" borderId="110" xfId="1" applyFont="1" applyFill="1" applyBorder="1"/>
    <xf numFmtId="0" fontId="1" fillId="0" borderId="102" xfId="1" applyFont="1" applyFill="1" applyBorder="1" applyAlignment="1">
      <alignment horizontal="left"/>
    </xf>
    <xf numFmtId="0" fontId="1" fillId="0" borderId="102" xfId="1" applyFont="1" applyFill="1" applyBorder="1"/>
    <xf numFmtId="0" fontId="4" fillId="0" borderId="0" xfId="1" applyFont="1" applyFill="1"/>
    <xf numFmtId="0" fontId="1" fillId="0" borderId="100" xfId="1" applyFont="1" applyFill="1" applyBorder="1"/>
    <xf numFmtId="0" fontId="1" fillId="0" borderId="0" xfId="1" applyFont="1" applyFill="1" applyBorder="1" applyAlignment="1">
      <alignment horizontal="left"/>
    </xf>
    <xf numFmtId="0" fontId="4" fillId="0" borderId="102" xfId="1" applyFont="1" applyFill="1" applyBorder="1"/>
    <xf numFmtId="0" fontId="34" fillId="0" borderId="102" xfId="1" applyFont="1" applyFill="1" applyBorder="1" applyAlignment="1">
      <alignment horizontal="right"/>
    </xf>
    <xf numFmtId="0" fontId="1" fillId="0" borderId="111" xfId="1" applyFont="1" applyFill="1" applyBorder="1"/>
    <xf numFmtId="0" fontId="16" fillId="0" borderId="103" xfId="1" applyFont="1" applyFill="1" applyBorder="1"/>
    <xf numFmtId="0" fontId="1" fillId="0" borderId="27" xfId="1" applyFont="1" applyFill="1" applyBorder="1"/>
    <xf numFmtId="0" fontId="4" fillId="0" borderId="105" xfId="1" applyFont="1" applyFill="1" applyBorder="1"/>
    <xf numFmtId="0" fontId="1" fillId="0" borderId="103" xfId="1" applyFont="1" applyFill="1" applyBorder="1"/>
    <xf numFmtId="0" fontId="16" fillId="0" borderId="0" xfId="1" applyFont="1" applyFill="1" applyAlignment="1">
      <alignment horizontal="left"/>
    </xf>
    <xf numFmtId="0" fontId="1" fillId="0" borderId="109" xfId="1" applyFont="1" applyFill="1" applyBorder="1"/>
    <xf numFmtId="0" fontId="33" fillId="0" borderId="0" xfId="1" applyFont="1" applyFill="1" applyAlignment="1"/>
    <xf numFmtId="0" fontId="29" fillId="0" borderId="102" xfId="1" applyFont="1" applyFill="1" applyBorder="1"/>
    <xf numFmtId="0" fontId="29" fillId="0" borderId="109" xfId="1" applyFont="1" applyFill="1" applyBorder="1" applyAlignment="1"/>
    <xf numFmtId="0" fontId="29" fillId="0" borderId="102" xfId="1" applyFont="1" applyFill="1" applyBorder="1" applyAlignment="1"/>
    <xf numFmtId="0" fontId="1" fillId="0" borderId="36" xfId="1" applyFont="1" applyFill="1" applyBorder="1"/>
    <xf numFmtId="0" fontId="1" fillId="0" borderId="97" xfId="1" applyFont="1" applyFill="1" applyBorder="1" applyAlignment="1">
      <alignment horizontal="left"/>
    </xf>
    <xf numFmtId="0" fontId="29" fillId="0" borderId="102" xfId="1" applyFont="1" applyFill="1" applyBorder="1" applyAlignment="1">
      <alignment horizontal="right"/>
    </xf>
    <xf numFmtId="0" fontId="29" fillId="0" borderId="110" xfId="1" applyFont="1" applyFill="1" applyBorder="1" applyAlignment="1"/>
    <xf numFmtId="0" fontId="4" fillId="0" borderId="0" xfId="1" applyFont="1" applyFill="1" applyBorder="1"/>
    <xf numFmtId="0" fontId="1" fillId="0" borderId="110" xfId="1" applyFont="1" applyFill="1" applyBorder="1" applyAlignment="1">
      <alignment horizontal="left"/>
    </xf>
    <xf numFmtId="0" fontId="4" fillId="0" borderId="110" xfId="1" applyFont="1" applyFill="1" applyBorder="1" applyAlignment="1">
      <alignment horizontal="right"/>
    </xf>
    <xf numFmtId="0" fontId="4" fillId="0" borderId="109" xfId="1" applyFont="1" applyFill="1" applyBorder="1" applyAlignment="1"/>
    <xf numFmtId="0" fontId="59" fillId="0" borderId="0" xfId="1" applyFont="1" applyFill="1"/>
    <xf numFmtId="0" fontId="25" fillId="10" borderId="0" xfId="1" applyFont="1" applyFill="1" applyAlignment="1">
      <alignment vertical="center"/>
    </xf>
    <xf numFmtId="0" fontId="16" fillId="2" borderId="0" xfId="1" applyFont="1" applyFill="1" applyAlignment="1">
      <alignment vertical="center"/>
    </xf>
    <xf numFmtId="0" fontId="16" fillId="11" borderId="0" xfId="1" applyFont="1" applyFill="1" applyAlignment="1">
      <alignment vertical="center"/>
    </xf>
    <xf numFmtId="0" fontId="16" fillId="0" borderId="0" xfId="1" applyFont="1" applyAlignment="1">
      <alignment vertical="center"/>
    </xf>
    <xf numFmtId="0" fontId="0" fillId="0" borderId="0" xfId="1" applyFont="1" applyFill="1"/>
    <xf numFmtId="0" fontId="1" fillId="0" borderId="33" xfId="19" applyFont="1" applyBorder="1" applyAlignment="1">
      <alignment horizontal="left"/>
    </xf>
    <xf numFmtId="0" fontId="0" fillId="0" borderId="34" xfId="19" applyFont="1" applyBorder="1"/>
    <xf numFmtId="0" fontId="1" fillId="0" borderId="33" xfId="19" applyFont="1" applyBorder="1"/>
    <xf numFmtId="0" fontId="0" fillId="0" borderId="27" xfId="19" applyFont="1" applyBorder="1"/>
    <xf numFmtId="0" fontId="1" fillId="0" borderId="109" xfId="1" applyFont="1" applyFill="1" applyBorder="1" applyAlignment="1">
      <alignment horizontal="left"/>
    </xf>
    <xf numFmtId="0" fontId="16" fillId="0" borderId="106" xfId="9" applyFont="1" applyFill="1" applyBorder="1"/>
    <xf numFmtId="0" fontId="1" fillId="0" borderId="102" xfId="1" applyFont="1" applyFill="1" applyBorder="1" applyAlignment="1">
      <alignment horizontal="right"/>
    </xf>
    <xf numFmtId="0" fontId="61" fillId="0" borderId="102" xfId="1" applyFont="1" applyFill="1" applyBorder="1" applyAlignment="1">
      <alignment horizontal="right"/>
    </xf>
    <xf numFmtId="0" fontId="1" fillId="0" borderId="112" xfId="1" applyFont="1" applyFill="1" applyBorder="1"/>
    <xf numFmtId="0" fontId="60" fillId="0" borderId="0" xfId="1" applyFont="1" applyFill="1" applyBorder="1" applyAlignment="1">
      <alignment horizontal="right"/>
    </xf>
    <xf numFmtId="0" fontId="16" fillId="0" borderId="113" xfId="1" applyFont="1" applyFill="1" applyBorder="1" applyAlignment="1">
      <alignment horizontal="left"/>
    </xf>
    <xf numFmtId="0" fontId="1" fillId="0" borderId="0" xfId="1" applyFont="1" applyFill="1" applyAlignment="1">
      <alignment horizontal="right"/>
    </xf>
    <xf numFmtId="0" fontId="29" fillId="0" borderId="110" xfId="1" applyFont="1" applyFill="1" applyBorder="1"/>
    <xf numFmtId="0" fontId="0" fillId="0" borderId="106" xfId="1" applyFont="1" applyFill="1" applyBorder="1"/>
    <xf numFmtId="0" fontId="29" fillId="0" borderId="97" xfId="1" applyFont="1" applyFill="1" applyBorder="1" applyAlignment="1">
      <alignment horizontal="right"/>
    </xf>
    <xf numFmtId="0" fontId="4" fillId="0" borderId="109" xfId="1" applyFont="1" applyFill="1" applyBorder="1" applyAlignment="1">
      <alignment horizontal="left"/>
    </xf>
    <xf numFmtId="0" fontId="1" fillId="0" borderId="36" xfId="19" applyFont="1" applyBorder="1" applyAlignment="1">
      <alignment horizontal="left"/>
    </xf>
    <xf numFmtId="0" fontId="1" fillId="0" borderId="97" xfId="19" applyFont="1" applyBorder="1" applyAlignment="1">
      <alignment horizontal="left"/>
    </xf>
    <xf numFmtId="0" fontId="1" fillId="0" borderId="105" xfId="1" applyFont="1" applyFill="1" applyBorder="1"/>
    <xf numFmtId="0" fontId="1" fillId="14" borderId="0" xfId="19" applyFont="1" applyFill="1" applyBorder="1" applyAlignment="1">
      <alignment horizontal="left"/>
    </xf>
    <xf numFmtId="0" fontId="0" fillId="14" borderId="0" xfId="19" applyFont="1" applyFill="1" applyAlignment="1">
      <alignment horizontal="left"/>
    </xf>
    <xf numFmtId="0" fontId="0" fillId="0" borderId="0" xfId="19" applyFont="1" applyFill="1" applyAlignment="1">
      <alignment horizontal="left"/>
    </xf>
    <xf numFmtId="0" fontId="62" fillId="0" borderId="0" xfId="1" applyFont="1" applyFill="1" applyAlignment="1"/>
    <xf numFmtId="0" fontId="4" fillId="0" borderId="102" xfId="19" applyFont="1" applyBorder="1" applyAlignment="1">
      <alignment horizontal="left"/>
    </xf>
    <xf numFmtId="0" fontId="0" fillId="14" borderId="102" xfId="19" applyFont="1" applyFill="1" applyBorder="1" applyAlignment="1">
      <alignment horizontal="left"/>
    </xf>
    <xf numFmtId="0" fontId="4" fillId="0" borderId="0" xfId="19" applyFont="1" applyFill="1" applyAlignment="1">
      <alignment horizontal="left"/>
    </xf>
    <xf numFmtId="0" fontId="0" fillId="0" borderId="34" xfId="19" applyFont="1" applyFill="1" applyBorder="1"/>
    <xf numFmtId="0" fontId="4" fillId="0" borderId="0" xfId="19" applyFont="1" applyAlignment="1">
      <alignment horizontal="left"/>
    </xf>
    <xf numFmtId="0" fontId="4" fillId="0" borderId="33" xfId="19" applyFont="1" applyBorder="1" applyAlignment="1">
      <alignment horizontal="left"/>
    </xf>
    <xf numFmtId="0" fontId="38" fillId="0" borderId="99" xfId="19" applyFont="1" applyBorder="1"/>
    <xf numFmtId="0" fontId="38" fillId="0" borderId="113" xfId="1" applyFont="1" applyFill="1" applyBorder="1" applyAlignment="1">
      <alignment horizontal="left"/>
    </xf>
    <xf numFmtId="0" fontId="60" fillId="0" borderId="102" xfId="1" applyFont="1" applyFill="1" applyBorder="1" applyAlignment="1">
      <alignment horizontal="right"/>
    </xf>
    <xf numFmtId="0" fontId="7" fillId="0" borderId="61" xfId="3" applyFill="1" applyBorder="1" applyAlignment="1"/>
    <xf numFmtId="0" fontId="0" fillId="8" borderId="108" xfId="16" applyFont="1" applyFill="1" applyBorder="1" applyAlignment="1">
      <alignment horizontal="center"/>
    </xf>
    <xf numFmtId="0" fontId="52" fillId="15" borderId="1" xfId="1" applyFont="1" applyFill="1" applyBorder="1" applyAlignment="1"/>
    <xf numFmtId="0" fontId="57" fillId="17" borderId="34" xfId="3" applyFont="1" applyFill="1" applyBorder="1" applyAlignment="1"/>
    <xf numFmtId="0" fontId="36" fillId="15" borderId="3" xfId="3" applyFont="1" applyFill="1" applyBorder="1" applyAlignment="1"/>
    <xf numFmtId="0" fontId="4" fillId="0" borderId="8" xfId="10" applyFont="1" applyBorder="1" applyAlignment="1"/>
    <xf numFmtId="0" fontId="4" fillId="0" borderId="10" xfId="10" applyFont="1" applyFill="1" applyBorder="1" applyAlignment="1">
      <alignment horizontal="center"/>
    </xf>
    <xf numFmtId="0" fontId="1" fillId="0" borderId="15" xfId="10" applyFont="1" applyBorder="1" applyAlignment="1"/>
    <xf numFmtId="0" fontId="1" fillId="2" borderId="19" xfId="10" applyFont="1" applyFill="1" applyBorder="1" applyAlignment="1"/>
    <xf numFmtId="0" fontId="1" fillId="2" borderId="20" xfId="10" applyFont="1" applyFill="1" applyBorder="1" applyAlignment="1"/>
    <xf numFmtId="0" fontId="1" fillId="2" borderId="20" xfId="16" applyFont="1" applyFill="1" applyBorder="1" applyAlignment="1">
      <alignment horizontal="center"/>
    </xf>
    <xf numFmtId="0" fontId="1" fillId="2" borderId="4" xfId="16" applyFont="1" applyFill="1" applyBorder="1" applyAlignment="1">
      <alignment horizontal="center"/>
    </xf>
    <xf numFmtId="0" fontId="1" fillId="2" borderId="19" xfId="16" applyFont="1" applyFill="1" applyBorder="1" applyAlignment="1">
      <alignment horizontal="center"/>
    </xf>
    <xf numFmtId="0" fontId="0" fillId="0" borderId="7" xfId="16" applyFont="1" applyBorder="1" applyAlignment="1">
      <alignment horizontal="left"/>
    </xf>
    <xf numFmtId="0" fontId="0" fillId="0" borderId="7" xfId="16" applyFont="1" applyBorder="1" applyAlignment="1"/>
    <xf numFmtId="0" fontId="0" fillId="2" borderId="20" xfId="16" applyFont="1" applyFill="1" applyBorder="1" applyAlignment="1"/>
    <xf numFmtId="0" fontId="0" fillId="2" borderId="20" xfId="10" applyFont="1" applyFill="1" applyBorder="1" applyAlignment="1"/>
    <xf numFmtId="0" fontId="1" fillId="2" borderId="19" xfId="16" applyFont="1" applyFill="1" applyBorder="1" applyAlignment="1"/>
    <xf numFmtId="0" fontId="1" fillId="2" borderId="20" xfId="10" applyFont="1" applyFill="1" applyBorder="1" applyAlignment="1">
      <alignment horizontal="center"/>
    </xf>
    <xf numFmtId="0" fontId="1" fillId="2" borderId="3" xfId="10" applyFont="1" applyFill="1" applyBorder="1" applyAlignment="1">
      <alignment horizontal="center"/>
    </xf>
    <xf numFmtId="0" fontId="1" fillId="2" borderId="4" xfId="10" applyFont="1" applyFill="1" applyBorder="1" applyAlignment="1">
      <alignment horizontal="center"/>
    </xf>
    <xf numFmtId="0" fontId="1" fillId="2" borderId="19" xfId="10" applyFont="1" applyFill="1" applyBorder="1" applyAlignment="1">
      <alignment horizontal="center"/>
    </xf>
    <xf numFmtId="0" fontId="0" fillId="0" borderId="20" xfId="16" applyFont="1" applyBorder="1" applyAlignment="1">
      <alignment horizontal="left"/>
    </xf>
    <xf numFmtId="0" fontId="0" fillId="0" borderId="22" xfId="10" applyFont="1" applyFill="1" applyBorder="1" applyAlignment="1">
      <alignment horizontal="left"/>
    </xf>
    <xf numFmtId="0" fontId="1" fillId="0" borderId="15" xfId="16" applyFont="1" applyFill="1" applyBorder="1" applyAlignment="1">
      <alignment horizontal="center"/>
    </xf>
    <xf numFmtId="0" fontId="0" fillId="0" borderId="20" xfId="10" applyFont="1" applyBorder="1" applyAlignment="1">
      <alignment horizontal="center"/>
    </xf>
    <xf numFmtId="0" fontId="0" fillId="0" borderId="3" xfId="10" applyFont="1" applyBorder="1" applyAlignment="1">
      <alignment horizontal="center"/>
    </xf>
    <xf numFmtId="0" fontId="0" fillId="0" borderId="4" xfId="10" applyFont="1" applyBorder="1" applyAlignment="1">
      <alignment horizontal="center"/>
    </xf>
    <xf numFmtId="0" fontId="0" fillId="0" borderId="4" xfId="10" applyFont="1" applyFill="1" applyBorder="1" applyAlignment="1">
      <alignment horizontal="center"/>
    </xf>
    <xf numFmtId="0" fontId="4" fillId="0" borderId="114" xfId="10" applyFont="1" applyBorder="1" applyAlignment="1"/>
    <xf numFmtId="0" fontId="0" fillId="0" borderId="20" xfId="10" applyFont="1" applyFill="1" applyBorder="1" applyAlignment="1"/>
    <xf numFmtId="0" fontId="0" fillId="11" borderId="3" xfId="16" applyFont="1" applyFill="1" applyBorder="1" applyAlignment="1"/>
    <xf numFmtId="0" fontId="1" fillId="0" borderId="3" xfId="16" applyFont="1" applyBorder="1" applyAlignment="1"/>
    <xf numFmtId="0" fontId="1" fillId="0" borderId="3" xfId="16" applyFont="1" applyBorder="1" applyAlignment="1">
      <alignment horizontal="left"/>
    </xf>
    <xf numFmtId="0" fontId="1" fillId="0" borderId="3" xfId="16" applyFont="1" applyFill="1" applyBorder="1" applyAlignment="1"/>
    <xf numFmtId="0" fontId="0" fillId="0" borderId="0" xfId="14" applyFont="1" applyAlignment="1">
      <alignment horizontal="right"/>
    </xf>
    <xf numFmtId="0" fontId="0" fillId="0" borderId="3" xfId="16" applyFont="1" applyBorder="1" applyAlignment="1"/>
    <xf numFmtId="0" fontId="1" fillId="0" borderId="21" xfId="10" applyFont="1" applyBorder="1" applyAlignment="1"/>
    <xf numFmtId="0" fontId="0" fillId="0" borderId="115" xfId="16" applyFont="1" applyBorder="1" applyAlignment="1"/>
    <xf numFmtId="0" fontId="1" fillId="0" borderId="116" xfId="16" applyFont="1" applyBorder="1"/>
    <xf numFmtId="0" fontId="1" fillId="0" borderId="116" xfId="16" applyFont="1" applyFill="1" applyBorder="1" applyAlignment="1">
      <alignment horizontal="center"/>
    </xf>
    <xf numFmtId="0" fontId="1" fillId="0" borderId="116" xfId="10" applyFont="1" applyFill="1" applyBorder="1" applyAlignment="1">
      <alignment horizontal="center"/>
    </xf>
    <xf numFmtId="0" fontId="0" fillId="2" borderId="7" xfId="16" applyFont="1" applyFill="1" applyBorder="1" applyAlignment="1"/>
    <xf numFmtId="0" fontId="0" fillId="0" borderId="20" xfId="10" applyFont="1" applyFill="1" applyBorder="1" applyAlignment="1">
      <alignment horizontal="left"/>
    </xf>
    <xf numFmtId="0" fontId="0" fillId="0" borderId="22" xfId="16" applyFont="1" applyBorder="1" applyAlignment="1">
      <alignment horizontal="left"/>
    </xf>
    <xf numFmtId="0" fontId="61" fillId="2" borderId="19" xfId="16" applyFont="1" applyFill="1" applyBorder="1" applyAlignment="1">
      <alignment horizontal="center"/>
    </xf>
    <xf numFmtId="0" fontId="1" fillId="10" borderId="19" xfId="16" applyFont="1" applyFill="1" applyBorder="1" applyAlignment="1">
      <alignment horizontal="center"/>
    </xf>
    <xf numFmtId="0" fontId="1" fillId="10" borderId="21" xfId="16" applyFont="1" applyFill="1" applyBorder="1" applyAlignment="1">
      <alignment horizontal="center"/>
    </xf>
    <xf numFmtId="0" fontId="4" fillId="30" borderId="61" xfId="1" applyFont="1" applyFill="1" applyBorder="1" applyAlignment="1"/>
    <xf numFmtId="0" fontId="4" fillId="0" borderId="85" xfId="1" applyFont="1" applyFill="1" applyBorder="1" applyAlignment="1"/>
    <xf numFmtId="0" fontId="64" fillId="30" borderId="62" xfId="3" applyFont="1" applyFill="1" applyBorder="1" applyAlignment="1">
      <alignment vertical="top"/>
    </xf>
    <xf numFmtId="0" fontId="23" fillId="30" borderId="59" xfId="1" applyFont="1" applyFill="1" applyBorder="1" applyAlignment="1">
      <alignment vertical="top"/>
    </xf>
    <xf numFmtId="0" fontId="22" fillId="0" borderId="117" xfId="3" applyFont="1" applyFill="1" applyBorder="1" applyAlignment="1"/>
    <xf numFmtId="0" fontId="27" fillId="16" borderId="7" xfId="16" applyFont="1" applyFill="1" applyBorder="1" applyAlignment="1">
      <alignment horizontal="center"/>
    </xf>
    <xf numFmtId="0" fontId="1" fillId="6" borderId="59" xfId="1" applyFont="1" applyFill="1" applyBorder="1" applyAlignment="1">
      <alignment vertical="top"/>
    </xf>
    <xf numFmtId="0" fontId="21" fillId="0" borderId="59" xfId="1" applyFont="1" applyBorder="1" applyAlignment="1">
      <alignment horizontal="center" vertical="top"/>
    </xf>
    <xf numFmtId="0" fontId="21" fillId="0" borderId="62" xfId="1" applyFont="1" applyBorder="1" applyAlignment="1">
      <alignment vertical="top"/>
    </xf>
    <xf numFmtId="0" fontId="1" fillId="14" borderId="3" xfId="19" applyFont="1" applyFill="1" applyBorder="1" applyAlignment="1">
      <alignment horizontal="center"/>
    </xf>
    <xf numFmtId="0" fontId="66" fillId="0" borderId="59" xfId="3" applyFont="1" applyFill="1" applyBorder="1" applyAlignment="1"/>
    <xf numFmtId="0" fontId="23" fillId="0" borderId="0" xfId="14" applyFont="1" applyAlignment="1">
      <alignment horizontal="right"/>
    </xf>
    <xf numFmtId="0" fontId="0" fillId="0" borderId="3" xfId="0" applyBorder="1" applyAlignment="1"/>
    <xf numFmtId="0" fontId="38" fillId="0" borderId="0" xfId="1" applyFont="1" applyAlignment="1"/>
    <xf numFmtId="0" fontId="0" fillId="0" borderId="3" xfId="19" applyFont="1" applyBorder="1" applyAlignment="1"/>
    <xf numFmtId="0" fontId="1" fillId="0" borderId="106" xfId="19" applyFont="1" applyBorder="1"/>
    <xf numFmtId="0" fontId="33" fillId="0" borderId="0" xfId="19" applyFont="1"/>
    <xf numFmtId="164" fontId="27" fillId="8" borderId="3" xfId="10" applyNumberFormat="1" applyFont="1" applyFill="1" applyBorder="1" applyAlignment="1">
      <alignment horizontal="center"/>
    </xf>
    <xf numFmtId="0" fontId="1" fillId="0" borderId="105" xfId="14" applyFont="1" applyBorder="1"/>
    <xf numFmtId="0" fontId="1" fillId="0" borderId="0" xfId="14" applyFont="1" applyBorder="1"/>
    <xf numFmtId="0" fontId="1" fillId="0" borderId="103" xfId="14" applyFont="1" applyBorder="1"/>
    <xf numFmtId="0" fontId="1" fillId="0" borderId="27" xfId="19" applyFont="1" applyFill="1" applyBorder="1" applyAlignment="1">
      <alignment horizontal="left"/>
    </xf>
    <xf numFmtId="0" fontId="1" fillId="0" borderId="3" xfId="19" applyFont="1" applyBorder="1" applyAlignment="1"/>
    <xf numFmtId="0" fontId="1" fillId="0" borderId="3" xfId="13" applyFont="1" applyBorder="1"/>
    <xf numFmtId="0" fontId="1" fillId="25" borderId="3" xfId="19" applyFont="1" applyFill="1" applyBorder="1" applyAlignment="1">
      <alignment horizontal="center"/>
    </xf>
    <xf numFmtId="0" fontId="1" fillId="20" borderId="3" xfId="19" applyFont="1" applyFill="1" applyBorder="1" applyAlignment="1">
      <alignment horizontal="center"/>
    </xf>
    <xf numFmtId="0" fontId="16" fillId="20" borderId="3" xfId="19" applyFont="1" applyFill="1" applyBorder="1" applyAlignment="1">
      <alignment horizontal="center"/>
    </xf>
    <xf numFmtId="0" fontId="16" fillId="25" borderId="3" xfId="19" applyFont="1" applyFill="1" applyBorder="1" applyAlignment="1">
      <alignment horizontal="center"/>
    </xf>
    <xf numFmtId="0" fontId="0" fillId="21" borderId="3" xfId="19" applyNumberFormat="1" applyFont="1" applyFill="1" applyBorder="1" applyAlignment="1">
      <alignment horizontal="center"/>
    </xf>
    <xf numFmtId="164" fontId="1" fillId="20" borderId="0" xfId="14" applyNumberFormat="1" applyFont="1" applyFill="1" applyAlignment="1">
      <alignment horizontal="center"/>
    </xf>
    <xf numFmtId="164" fontId="1" fillId="20" borderId="0" xfId="33" applyNumberFormat="1" applyFont="1" applyFill="1" applyAlignment="1">
      <alignment horizontal="center"/>
    </xf>
    <xf numFmtId="0" fontId="0" fillId="0" borderId="27" xfId="19" applyFont="1" applyFill="1" applyBorder="1" applyAlignment="1">
      <alignment horizontal="left"/>
    </xf>
    <xf numFmtId="0" fontId="1" fillId="0" borderId="0" xfId="1" applyNumberFormat="1" applyFont="1" applyBorder="1" applyAlignment="1"/>
    <xf numFmtId="0" fontId="1" fillId="0" borderId="0" xfId="1" applyNumberFormat="1" applyFont="1" applyBorder="1" applyAlignment="1">
      <alignment horizontal="center"/>
    </xf>
    <xf numFmtId="164" fontId="1" fillId="0" borderId="0" xfId="1" applyNumberFormat="1" applyFont="1" applyBorder="1" applyAlignment="1">
      <alignment horizontal="center"/>
    </xf>
    <xf numFmtId="0" fontId="1" fillId="30" borderId="0" xfId="1" applyFont="1" applyFill="1"/>
    <xf numFmtId="0" fontId="1" fillId="8" borderId="62" xfId="1" applyFont="1" applyFill="1" applyBorder="1" applyAlignment="1"/>
    <xf numFmtId="0" fontId="22" fillId="0" borderId="53" xfId="3" applyFont="1" applyFill="1" applyBorder="1" applyAlignment="1"/>
    <xf numFmtId="0" fontId="21" fillId="0" borderId="0" xfId="0" applyFont="1" applyFill="1" applyBorder="1" applyAlignment="1"/>
    <xf numFmtId="0" fontId="22" fillId="0" borderId="61" xfId="3" applyFont="1" applyFill="1" applyBorder="1" applyAlignment="1">
      <alignment vertical="top"/>
    </xf>
    <xf numFmtId="0" fontId="1" fillId="0" borderId="119" xfId="1" applyFont="1" applyFill="1" applyBorder="1" applyAlignment="1"/>
    <xf numFmtId="0" fontId="21" fillId="0" borderId="119" xfId="1" applyFont="1" applyFill="1" applyBorder="1" applyAlignment="1"/>
    <xf numFmtId="0" fontId="4" fillId="0" borderId="119" xfId="1" applyFont="1" applyFill="1" applyBorder="1" applyAlignment="1"/>
    <xf numFmtId="0" fontId="4" fillId="2" borderId="0" xfId="1" quotePrefix="1" applyNumberFormat="1" applyFont="1" applyFill="1" applyAlignment="1"/>
    <xf numFmtId="0" fontId="1" fillId="2" borderId="0" xfId="1" applyNumberFormat="1" applyFont="1" applyFill="1" applyAlignment="1"/>
    <xf numFmtId="0" fontId="4" fillId="2" borderId="0" xfId="1" quotePrefix="1" applyNumberFormat="1" applyFont="1" applyFill="1" applyBorder="1" applyAlignment="1"/>
    <xf numFmtId="0" fontId="1" fillId="2" borderId="0" xfId="1" applyNumberFormat="1" applyFont="1" applyFill="1" applyBorder="1" applyAlignment="1"/>
    <xf numFmtId="0" fontId="7" fillId="10" borderId="33" xfId="3" applyNumberFormat="1" applyFill="1" applyBorder="1" applyAlignment="1"/>
    <xf numFmtId="0" fontId="3" fillId="8" borderId="2" xfId="1" applyFont="1" applyFill="1" applyBorder="1" applyAlignment="1"/>
    <xf numFmtId="0" fontId="3" fillId="8" borderId="62" xfId="1" applyFont="1" applyFill="1" applyBorder="1" applyAlignment="1"/>
    <xf numFmtId="0" fontId="65" fillId="0" borderId="1" xfId="0" applyFont="1" applyFill="1" applyBorder="1" applyAlignment="1"/>
    <xf numFmtId="0" fontId="65" fillId="0" borderId="1" xfId="3" applyFont="1" applyFill="1" applyBorder="1" applyAlignment="1"/>
    <xf numFmtId="0" fontId="4" fillId="0" borderId="56" xfId="1" applyFont="1" applyFill="1" applyBorder="1" applyAlignment="1"/>
    <xf numFmtId="0" fontId="0" fillId="0" borderId="120" xfId="0" applyBorder="1" applyAlignment="1"/>
    <xf numFmtId="0" fontId="4" fillId="0" borderId="120" xfId="0" applyFont="1" applyBorder="1" applyAlignment="1">
      <alignment horizontal="center"/>
    </xf>
    <xf numFmtId="0" fontId="4" fillId="0" borderId="120" xfId="0" applyFont="1" applyBorder="1" applyAlignment="1"/>
    <xf numFmtId="0" fontId="0" fillId="0" borderId="120" xfId="0" applyBorder="1" applyAlignment="1">
      <alignment vertical="center"/>
    </xf>
    <xf numFmtId="0" fontId="4" fillId="0" borderId="123" xfId="0" applyFont="1" applyBorder="1" applyAlignment="1">
      <alignment horizontal="center"/>
    </xf>
    <xf numFmtId="49" fontId="4" fillId="0" borderId="123" xfId="0" applyNumberFormat="1" applyFont="1" applyBorder="1" applyAlignment="1">
      <alignment horizontal="center" vertical="center"/>
    </xf>
    <xf numFmtId="0" fontId="0" fillId="0" borderId="123" xfId="0" applyBorder="1" applyAlignment="1">
      <alignment horizontal="center"/>
    </xf>
    <xf numFmtId="0" fontId="4" fillId="0" borderId="0" xfId="14" applyFont="1"/>
    <xf numFmtId="0" fontId="0" fillId="14" borderId="123" xfId="0" applyFill="1" applyBorder="1" applyAlignment="1">
      <alignment horizontal="center"/>
    </xf>
    <xf numFmtId="0" fontId="32" fillId="0" borderId="3" xfId="17" applyFont="1" applyFill="1" applyBorder="1" applyAlignment="1">
      <alignment horizontal="center"/>
    </xf>
    <xf numFmtId="49" fontId="0" fillId="31" borderId="121" xfId="0" applyNumberFormat="1" applyFill="1" applyBorder="1" applyAlignment="1">
      <alignment horizontal="center" vertical="center"/>
    </xf>
    <xf numFmtId="49" fontId="0" fillId="31" borderId="120" xfId="0" applyNumberFormat="1" applyFill="1" applyBorder="1" applyAlignment="1">
      <alignment horizontal="center" vertical="center"/>
    </xf>
    <xf numFmtId="49" fontId="0" fillId="0" borderId="123" xfId="0" applyNumberFormat="1" applyBorder="1" applyAlignment="1">
      <alignment horizontal="center" vertical="center"/>
    </xf>
    <xf numFmtId="49" fontId="0" fillId="32" borderId="121" xfId="0" applyNumberFormat="1" applyFill="1" applyBorder="1" applyAlignment="1">
      <alignment horizontal="center" vertical="center"/>
    </xf>
    <xf numFmtId="49" fontId="0" fillId="32" borderId="120" xfId="0" applyNumberFormat="1" applyFill="1" applyBorder="1" applyAlignment="1">
      <alignment horizontal="center" vertical="center"/>
    </xf>
    <xf numFmtId="0" fontId="0" fillId="31" borderId="121" xfId="0" applyNumberFormat="1" applyFill="1" applyBorder="1" applyAlignment="1">
      <alignment vertical="center"/>
    </xf>
    <xf numFmtId="0" fontId="0" fillId="32" borderId="121" xfId="0" applyNumberFormat="1" applyFill="1" applyBorder="1" applyAlignment="1">
      <alignment vertical="center"/>
    </xf>
    <xf numFmtId="0" fontId="0" fillId="31" borderId="122" xfId="0" applyNumberFormat="1" applyFill="1" applyBorder="1" applyAlignment="1">
      <alignment vertical="center"/>
    </xf>
    <xf numFmtId="0" fontId="0" fillId="32" borderId="122" xfId="0" applyNumberFormat="1" applyFill="1" applyBorder="1" applyAlignment="1">
      <alignment vertical="center"/>
    </xf>
    <xf numFmtId="0" fontId="33" fillId="0" borderId="0" xfId="19" applyFont="1" applyAlignment="1"/>
    <xf numFmtId="0" fontId="7" fillId="6" borderId="118" xfId="3" applyFill="1" applyBorder="1" applyAlignment="1"/>
    <xf numFmtId="0" fontId="22" fillId="0" borderId="0" xfId="3" applyFont="1" applyFill="1" applyBorder="1" applyAlignment="1"/>
    <xf numFmtId="0" fontId="1" fillId="6" borderId="103" xfId="1" applyFont="1" applyFill="1" applyBorder="1" applyAlignment="1"/>
    <xf numFmtId="0" fontId="1" fillId="0" borderId="103" xfId="1" applyFont="1" applyFill="1" applyBorder="1" applyAlignment="1"/>
    <xf numFmtId="0" fontId="22" fillId="0" borderId="125" xfId="3" applyFont="1" applyFill="1" applyBorder="1" applyAlignment="1"/>
    <xf numFmtId="0" fontId="7" fillId="0" borderId="89" xfId="3" applyFill="1" applyBorder="1" applyAlignment="1"/>
    <xf numFmtId="0" fontId="22" fillId="0" borderId="124" xfId="3" applyFont="1" applyFill="1" applyBorder="1" applyAlignment="1"/>
    <xf numFmtId="0" fontId="4" fillId="0" borderId="89" xfId="1" applyFont="1" applyBorder="1" applyAlignment="1">
      <alignment vertical="top"/>
    </xf>
    <xf numFmtId="0" fontId="1" fillId="0" borderId="124" xfId="1" applyFont="1" applyFill="1" applyBorder="1" applyAlignment="1"/>
    <xf numFmtId="0" fontId="1" fillId="0" borderId="89" xfId="1" applyFont="1" applyFill="1" applyBorder="1" applyAlignment="1"/>
    <xf numFmtId="0" fontId="4" fillId="0" borderId="38" xfId="1" applyFont="1" applyBorder="1" applyAlignment="1">
      <alignment vertical="top"/>
    </xf>
    <xf numFmtId="0" fontId="4" fillId="0" borderId="44" xfId="1" applyFont="1" applyBorder="1" applyAlignment="1">
      <alignment vertical="top"/>
    </xf>
    <xf numFmtId="0" fontId="21" fillId="0" borderId="64" xfId="3" applyFont="1" applyFill="1" applyBorder="1" applyAlignment="1"/>
    <xf numFmtId="0" fontId="1" fillId="0" borderId="126" xfId="1" applyFont="1" applyBorder="1" applyAlignment="1">
      <alignment vertical="top"/>
    </xf>
    <xf numFmtId="0" fontId="7" fillId="8" borderId="127" xfId="3" applyNumberFormat="1" applyFill="1" applyBorder="1" applyAlignment="1"/>
    <xf numFmtId="0" fontId="0" fillId="0" borderId="0" xfId="19" applyFont="1" applyAlignment="1">
      <alignment horizontal="left"/>
    </xf>
    <xf numFmtId="0" fontId="8" fillId="0" borderId="64" xfId="3" applyFont="1" applyFill="1" applyBorder="1" applyAlignment="1"/>
    <xf numFmtId="0" fontId="4" fillId="0" borderId="43" xfId="1" applyFont="1" applyBorder="1" applyAlignment="1">
      <alignment vertical="top"/>
    </xf>
    <xf numFmtId="0" fontId="4" fillId="0" borderId="0" xfId="19" applyFont="1" applyBorder="1" applyAlignment="1">
      <alignment horizontal="right"/>
    </xf>
    <xf numFmtId="0" fontId="0" fillId="8" borderId="3" xfId="19" applyFont="1" applyFill="1" applyBorder="1" applyAlignment="1">
      <alignment horizontal="center"/>
    </xf>
    <xf numFmtId="0" fontId="0" fillId="21" borderId="0" xfId="19" applyFont="1" applyFill="1" applyAlignment="1">
      <alignment horizontal="center"/>
    </xf>
    <xf numFmtId="0" fontId="1" fillId="8" borderId="1" xfId="3" applyFont="1" applyFill="1" applyBorder="1" applyAlignment="1"/>
    <xf numFmtId="0" fontId="1" fillId="8" borderId="38" xfId="3" applyFont="1" applyFill="1" applyBorder="1" applyAlignment="1"/>
    <xf numFmtId="0" fontId="4" fillId="8" borderId="43" xfId="1" applyFont="1" applyFill="1" applyBorder="1" applyAlignment="1"/>
    <xf numFmtId="0" fontId="1" fillId="8" borderId="2" xfId="1" applyFont="1" applyFill="1" applyBorder="1" applyAlignment="1"/>
    <xf numFmtId="0" fontId="7" fillId="0" borderId="0" xfId="3" applyFill="1" applyAlignment="1"/>
    <xf numFmtId="0" fontId="7" fillId="0" borderId="0" xfId="3" applyFill="1" applyAlignment="1">
      <alignment horizontal="center"/>
    </xf>
    <xf numFmtId="0" fontId="43" fillId="0" borderId="127" xfId="3" applyFont="1" applyFill="1" applyBorder="1" applyAlignment="1"/>
    <xf numFmtId="0" fontId="4" fillId="2" borderId="98" xfId="1" quotePrefix="1" applyNumberFormat="1" applyFont="1" applyFill="1" applyBorder="1" applyAlignment="1"/>
    <xf numFmtId="0" fontId="1" fillId="2" borderId="98" xfId="1" applyNumberFormat="1" applyFont="1" applyFill="1" applyBorder="1" applyAlignment="1"/>
    <xf numFmtId="0" fontId="1" fillId="0" borderId="98" xfId="1" applyNumberFormat="1" applyFont="1" applyBorder="1" applyAlignment="1"/>
    <xf numFmtId="0" fontId="44" fillId="0" borderId="98" xfId="1" applyNumberFormat="1" applyFont="1" applyBorder="1" applyAlignment="1"/>
    <xf numFmtId="0" fontId="1" fillId="0" borderId="98" xfId="1" applyNumberFormat="1" applyFont="1" applyBorder="1" applyAlignment="1">
      <alignment horizontal="center"/>
    </xf>
    <xf numFmtId="164" fontId="1" fillId="0" borderId="98" xfId="1" applyNumberFormat="1" applyFont="1" applyBorder="1" applyAlignment="1">
      <alignment horizontal="center"/>
    </xf>
    <xf numFmtId="0" fontId="7" fillId="8" borderId="123" xfId="3" applyNumberFormat="1" applyFill="1" applyBorder="1" applyAlignment="1"/>
    <xf numFmtId="0" fontId="1" fillId="0" borderId="129" xfId="10" applyFont="1" applyFill="1" applyBorder="1" applyAlignment="1">
      <alignment horizontal="center"/>
    </xf>
    <xf numFmtId="0" fontId="4" fillId="2" borderId="130" xfId="10" applyFont="1" applyFill="1" applyBorder="1" applyAlignment="1"/>
    <xf numFmtId="0" fontId="1" fillId="10" borderId="7" xfId="14" applyFont="1" applyFill="1" applyBorder="1" applyAlignment="1"/>
    <xf numFmtId="0" fontId="1" fillId="2" borderId="7" xfId="10" applyFont="1" applyFill="1" applyBorder="1" applyAlignment="1"/>
    <xf numFmtId="0" fontId="1" fillId="11" borderId="7" xfId="10" applyFont="1" applyFill="1" applyBorder="1" applyAlignment="1"/>
    <xf numFmtId="0" fontId="29" fillId="2" borderId="0" xfId="10" applyFont="1" applyFill="1" applyAlignment="1"/>
    <xf numFmtId="0" fontId="28" fillId="2" borderId="0" xfId="10" applyFont="1" applyFill="1" applyAlignment="1"/>
    <xf numFmtId="0" fontId="4" fillId="2" borderId="28" xfId="10" applyFont="1" applyFill="1" applyBorder="1" applyAlignment="1">
      <alignment horizontal="right"/>
    </xf>
    <xf numFmtId="0" fontId="1" fillId="0" borderId="7" xfId="14" applyFont="1" applyBorder="1"/>
    <xf numFmtId="0" fontId="39" fillId="0" borderId="128" xfId="10" applyFont="1" applyFill="1" applyBorder="1" applyAlignment="1">
      <alignment horizontal="right"/>
    </xf>
    <xf numFmtId="0" fontId="39" fillId="10" borderId="128" xfId="10" applyFont="1" applyFill="1" applyBorder="1" applyAlignment="1">
      <alignment horizontal="right"/>
    </xf>
    <xf numFmtId="0" fontId="68" fillId="0" borderId="129" xfId="10" applyFont="1" applyFill="1" applyBorder="1" applyAlignment="1">
      <alignment horizontal="center" textRotation="90"/>
    </xf>
    <xf numFmtId="0" fontId="68" fillId="0" borderId="7" xfId="10" applyFont="1" applyBorder="1" applyAlignment="1">
      <alignment horizontal="center" textRotation="90"/>
    </xf>
    <xf numFmtId="0" fontId="69" fillId="0" borderId="128" xfId="10" applyFont="1" applyFill="1" applyBorder="1" applyAlignment="1"/>
    <xf numFmtId="0" fontId="0" fillId="0" borderId="7" xfId="10" applyFont="1" applyFill="1" applyBorder="1" applyAlignment="1"/>
    <xf numFmtId="0" fontId="1" fillId="14" borderId="102" xfId="19" applyFont="1" applyFill="1" applyBorder="1" applyAlignment="1">
      <alignment horizontal="left"/>
    </xf>
    <xf numFmtId="0" fontId="1" fillId="14" borderId="104" xfId="19" applyFont="1" applyFill="1" applyBorder="1" applyAlignment="1">
      <alignment horizontal="left"/>
    </xf>
    <xf numFmtId="0" fontId="0" fillId="33" borderId="0" xfId="0" applyFill="1" applyAlignment="1">
      <alignment horizontal="center"/>
    </xf>
    <xf numFmtId="0" fontId="0" fillId="35" borderId="0" xfId="0" applyFill="1" applyAlignment="1">
      <alignment horizontal="center"/>
    </xf>
    <xf numFmtId="0" fontId="0" fillId="34" borderId="0" xfId="0" applyFill="1" applyAlignment="1">
      <alignment horizontal="center"/>
    </xf>
    <xf numFmtId="0" fontId="1" fillId="0" borderId="36" xfId="19" applyFont="1" applyFill="1" applyBorder="1" applyAlignment="1">
      <alignment horizontal="left"/>
    </xf>
    <xf numFmtId="0" fontId="0" fillId="10" borderId="3" xfId="0" applyFill="1" applyBorder="1"/>
    <xf numFmtId="0" fontId="0" fillId="2" borderId="3" xfId="0" applyFill="1" applyBorder="1"/>
    <xf numFmtId="0" fontId="0" fillId="11" borderId="3" xfId="0" applyFill="1" applyBorder="1"/>
    <xf numFmtId="0" fontId="28" fillId="0" borderId="7" xfId="10" applyFont="1" applyFill="1" applyBorder="1" applyAlignment="1">
      <alignment horizontal="center"/>
    </xf>
    <xf numFmtId="0" fontId="28" fillId="2" borderId="7" xfId="10" applyFont="1" applyFill="1" applyBorder="1" applyAlignment="1">
      <alignment horizontal="center"/>
    </xf>
    <xf numFmtId="0" fontId="28" fillId="10" borderId="7" xfId="10" applyFont="1" applyFill="1" applyBorder="1" applyAlignment="1">
      <alignment horizontal="center"/>
    </xf>
    <xf numFmtId="0" fontId="28" fillId="11" borderId="7" xfId="10" applyFont="1" applyFill="1" applyBorder="1" applyAlignment="1">
      <alignment horizontal="center"/>
    </xf>
    <xf numFmtId="0" fontId="0" fillId="0" borderId="120" xfId="0" applyBorder="1"/>
    <xf numFmtId="0" fontId="0" fillId="0" borderId="121" xfId="0" applyBorder="1"/>
    <xf numFmtId="0" fontId="0" fillId="0" borderId="122" xfId="0" applyBorder="1"/>
    <xf numFmtId="0" fontId="0" fillId="0" borderId="120" xfId="0" applyFill="1" applyBorder="1"/>
    <xf numFmtId="0" fontId="7" fillId="16" borderId="127" xfId="3" applyNumberFormat="1" applyFill="1" applyBorder="1" applyAlignment="1"/>
    <xf numFmtId="0" fontId="1" fillId="0" borderId="3" xfId="1" applyFont="1" applyFill="1" applyBorder="1"/>
    <xf numFmtId="0" fontId="0" fillId="0" borderId="3" xfId="1" applyFont="1" applyFill="1" applyBorder="1"/>
    <xf numFmtId="0" fontId="4" fillId="0" borderId="3" xfId="1" applyFont="1" applyFill="1" applyBorder="1" applyAlignment="1">
      <alignment horizontal="center"/>
    </xf>
    <xf numFmtId="0" fontId="1" fillId="0" borderId="3" xfId="1" applyFont="1" applyFill="1" applyBorder="1" applyAlignment="1">
      <alignment horizontal="center"/>
    </xf>
    <xf numFmtId="0" fontId="0" fillId="0" borderId="0" xfId="1" applyFont="1" applyFill="1" applyBorder="1"/>
    <xf numFmtId="0" fontId="4" fillId="0" borderId="0" xfId="1" applyFont="1" applyFill="1" applyBorder="1" applyAlignment="1">
      <alignment horizontal="center"/>
    </xf>
    <xf numFmtId="0" fontId="4" fillId="5" borderId="3" xfId="1" applyFont="1" applyFill="1" applyBorder="1" applyAlignment="1">
      <alignment horizontal="center"/>
    </xf>
    <xf numFmtId="0" fontId="1" fillId="5" borderId="3" xfId="1" applyFont="1" applyFill="1" applyBorder="1" applyAlignment="1">
      <alignment horizontal="center"/>
    </xf>
    <xf numFmtId="0" fontId="28" fillId="0" borderId="3" xfId="1" applyFont="1" applyFill="1" applyBorder="1" applyAlignment="1">
      <alignment horizontal="center"/>
    </xf>
    <xf numFmtId="0" fontId="31" fillId="0" borderId="3" xfId="1" applyFont="1" applyFill="1" applyBorder="1" applyAlignment="1">
      <alignment horizontal="center"/>
    </xf>
    <xf numFmtId="0" fontId="28" fillId="0" borderId="3" xfId="17" applyNumberFormat="1" applyFont="1" applyFill="1" applyBorder="1" applyAlignment="1">
      <alignment horizontal="center"/>
    </xf>
    <xf numFmtId="0" fontId="34" fillId="0" borderId="3" xfId="17" applyFont="1" applyFill="1" applyBorder="1" applyAlignment="1">
      <alignment horizontal="center"/>
    </xf>
    <xf numFmtId="0" fontId="35" fillId="0" borderId="3" xfId="17" applyFont="1" applyFill="1" applyBorder="1" applyAlignment="1">
      <alignment horizontal="center"/>
    </xf>
    <xf numFmtId="0" fontId="34" fillId="0" borderId="3" xfId="17" applyNumberFormat="1" applyFont="1" applyFill="1" applyBorder="1" applyAlignment="1">
      <alignment horizontal="center"/>
    </xf>
    <xf numFmtId="0" fontId="35" fillId="0" borderId="3" xfId="17" applyNumberFormat="1" applyFont="1" applyFill="1" applyBorder="1" applyAlignment="1">
      <alignment horizontal="center"/>
    </xf>
    <xf numFmtId="0" fontId="70" fillId="0" borderId="3" xfId="17" applyFont="1" applyFill="1" applyBorder="1" applyAlignment="1">
      <alignment horizontal="center"/>
    </xf>
    <xf numFmtId="0" fontId="32" fillId="0" borderId="3" xfId="17" applyNumberFormat="1" applyFont="1" applyFill="1" applyBorder="1" applyAlignment="1">
      <alignment horizontal="center"/>
    </xf>
    <xf numFmtId="0" fontId="70" fillId="0" borderId="3" xfId="17" applyNumberFormat="1" applyFont="1" applyFill="1" applyBorder="1" applyAlignment="1">
      <alignment horizontal="center"/>
    </xf>
    <xf numFmtId="0" fontId="4" fillId="2" borderId="0" xfId="1" applyFont="1" applyFill="1"/>
    <xf numFmtId="0" fontId="4" fillId="0" borderId="127" xfId="1" applyFont="1" applyFill="1" applyBorder="1" applyAlignment="1">
      <alignment horizontal="center"/>
    </xf>
    <xf numFmtId="0" fontId="4" fillId="0" borderId="34" xfId="1" applyFont="1" applyFill="1" applyBorder="1" applyAlignment="1">
      <alignment horizontal="center"/>
    </xf>
    <xf numFmtId="0" fontId="34" fillId="0" borderId="0" xfId="1" applyFont="1" applyFill="1" applyBorder="1"/>
    <xf numFmtId="0" fontId="28" fillId="0" borderId="0" xfId="1" applyFont="1" applyFill="1" applyBorder="1"/>
    <xf numFmtId="0" fontId="29" fillId="0" borderId="0" xfId="1" applyFont="1" applyFill="1" applyBorder="1"/>
    <xf numFmtId="0" fontId="71" fillId="0" borderId="0" xfId="1" applyFont="1" applyFill="1" applyBorder="1"/>
    <xf numFmtId="0" fontId="71" fillId="0" borderId="3" xfId="17" applyFont="1" applyFill="1" applyBorder="1" applyAlignment="1">
      <alignment horizontal="center"/>
    </xf>
    <xf numFmtId="0" fontId="4" fillId="0" borderId="3" xfId="17" applyNumberFormat="1" applyFont="1" applyFill="1" applyBorder="1" applyAlignment="1">
      <alignment horizontal="center"/>
    </xf>
    <xf numFmtId="0" fontId="23" fillId="0" borderId="0" xfId="1" applyFont="1" applyFill="1"/>
    <xf numFmtId="0" fontId="7" fillId="0" borderId="70" xfId="3" applyFill="1" applyBorder="1" applyAlignment="1"/>
    <xf numFmtId="0" fontId="4" fillId="15" borderId="0" xfId="1" applyFont="1" applyFill="1" applyBorder="1" applyAlignment="1"/>
    <xf numFmtId="0" fontId="4" fillId="15" borderId="46" xfId="1" applyFont="1" applyFill="1" applyBorder="1" applyAlignment="1"/>
    <xf numFmtId="0" fontId="7" fillId="16" borderId="132" xfId="3" applyNumberFormat="1" applyFill="1" applyBorder="1" applyAlignment="1"/>
    <xf numFmtId="0" fontId="36" fillId="7" borderId="133" xfId="3" applyFont="1" applyFill="1" applyBorder="1" applyAlignment="1"/>
    <xf numFmtId="0" fontId="1" fillId="7" borderId="133" xfId="1" applyNumberFormat="1" applyFont="1" applyFill="1" applyBorder="1" applyAlignment="1"/>
    <xf numFmtId="166" fontId="1" fillId="7" borderId="133" xfId="1" applyNumberFormat="1" applyFont="1" applyFill="1" applyBorder="1" applyAlignment="1">
      <alignment horizontal="center"/>
    </xf>
    <xf numFmtId="164" fontId="1" fillId="4" borderId="133" xfId="1" applyNumberFormat="1" applyFont="1" applyFill="1" applyBorder="1" applyAlignment="1">
      <alignment horizontal="center"/>
    </xf>
    <xf numFmtId="0" fontId="0" fillId="0" borderId="3" xfId="13" applyFont="1" applyBorder="1"/>
    <xf numFmtId="0" fontId="0" fillId="11" borderId="3" xfId="5" applyFont="1" applyFill="1" applyBorder="1" applyAlignment="1"/>
    <xf numFmtId="0" fontId="72" fillId="15" borderId="132" xfId="3" applyNumberFormat="1" applyFont="1" applyFill="1" applyBorder="1" applyAlignment="1"/>
    <xf numFmtId="165" fontId="1" fillId="0" borderId="0" xfId="18" applyNumberFormat="1" applyFont="1" applyFill="1" applyAlignment="1">
      <alignment horizontal="right"/>
    </xf>
    <xf numFmtId="0" fontId="22" fillId="0" borderId="70" xfId="3" applyFont="1" applyFill="1" applyBorder="1" applyAlignment="1">
      <alignment horizontal="center" vertical="top"/>
    </xf>
    <xf numFmtId="0" fontId="8" fillId="0" borderId="80" xfId="3" applyFont="1" applyFill="1" applyBorder="1" applyAlignment="1"/>
    <xf numFmtId="0" fontId="1" fillId="0" borderId="70" xfId="1" applyFont="1" applyBorder="1" applyAlignment="1">
      <alignment vertical="top"/>
    </xf>
    <xf numFmtId="0" fontId="73" fillId="0" borderId="45" xfId="1" applyFont="1" applyFill="1" applyBorder="1" applyAlignment="1">
      <alignment horizontal="center"/>
    </xf>
    <xf numFmtId="0" fontId="1" fillId="8" borderId="3" xfId="9" applyFont="1" applyFill="1" applyBorder="1" applyAlignment="1"/>
    <xf numFmtId="0" fontId="0" fillId="36" borderId="133" xfId="28" applyFont="1" applyFill="1" applyBorder="1" applyAlignment="1"/>
    <xf numFmtId="0" fontId="4" fillId="2" borderId="3" xfId="10" applyFont="1" applyFill="1" applyBorder="1" applyAlignment="1">
      <alignment horizontal="center"/>
    </xf>
    <xf numFmtId="0" fontId="4" fillId="2" borderId="5" xfId="5" applyFont="1" applyFill="1" applyBorder="1" applyAlignment="1">
      <alignment horizontal="right"/>
    </xf>
    <xf numFmtId="0" fontId="29" fillId="0" borderId="3" xfId="17" applyNumberFormat="1" applyFont="1" applyFill="1" applyBorder="1" applyAlignment="1">
      <alignment horizontal="center"/>
    </xf>
    <xf numFmtId="0" fontId="29" fillId="10" borderId="3" xfId="17" applyNumberFormat="1" applyFont="1" applyFill="1" applyBorder="1" applyAlignment="1">
      <alignment horizontal="center"/>
    </xf>
    <xf numFmtId="0" fontId="28" fillId="10" borderId="3" xfId="17" applyNumberFormat="1" applyFont="1" applyFill="1" applyBorder="1" applyAlignment="1">
      <alignment horizontal="center"/>
    </xf>
    <xf numFmtId="0" fontId="39" fillId="2" borderId="7" xfId="16" applyNumberFormat="1" applyFont="1" applyFill="1" applyBorder="1" applyAlignment="1">
      <alignment horizontal="center"/>
    </xf>
    <xf numFmtId="0" fontId="68" fillId="0" borderId="134" xfId="10" applyFont="1" applyFill="1" applyBorder="1" applyAlignment="1">
      <alignment horizontal="center" textRotation="90"/>
    </xf>
    <xf numFmtId="0" fontId="4" fillId="2" borderId="29" xfId="10" applyFont="1" applyFill="1" applyBorder="1" applyAlignment="1">
      <alignment horizontal="right"/>
    </xf>
    <xf numFmtId="0" fontId="28" fillId="0" borderId="128" xfId="10" applyFont="1" applyFill="1" applyBorder="1" applyAlignment="1">
      <alignment horizontal="center"/>
    </xf>
    <xf numFmtId="0" fontId="29" fillId="0" borderId="128" xfId="10" applyFont="1" applyFill="1" applyBorder="1" applyAlignment="1">
      <alignment horizontal="center"/>
    </xf>
    <xf numFmtId="0" fontId="32" fillId="0" borderId="29" xfId="10" applyFont="1" applyBorder="1" applyAlignment="1">
      <alignment horizontal="center"/>
    </xf>
    <xf numFmtId="0" fontId="29" fillId="0" borderId="7" xfId="10" applyFont="1" applyFill="1" applyBorder="1" applyAlignment="1">
      <alignment horizontal="right"/>
    </xf>
    <xf numFmtId="0" fontId="46" fillId="0" borderId="7" xfId="10" applyFont="1" applyFill="1" applyBorder="1" applyAlignment="1">
      <alignment horizontal="right"/>
    </xf>
    <xf numFmtId="0" fontId="31" fillId="0" borderId="29" xfId="10" applyFont="1" applyBorder="1" applyAlignment="1">
      <alignment horizontal="center"/>
    </xf>
    <xf numFmtId="0" fontId="31" fillId="0" borderId="7" xfId="10" applyFont="1" applyFill="1" applyBorder="1" applyAlignment="1">
      <alignment horizontal="right"/>
    </xf>
    <xf numFmtId="0" fontId="28" fillId="0" borderId="7" xfId="10" applyFont="1" applyFill="1" applyBorder="1" applyAlignment="1">
      <alignment horizontal="right"/>
    </xf>
    <xf numFmtId="0" fontId="46" fillId="10" borderId="7" xfId="10" applyFont="1" applyFill="1" applyBorder="1" applyAlignment="1">
      <alignment horizontal="right"/>
    </xf>
    <xf numFmtId="0" fontId="29" fillId="10" borderId="7" xfId="10" applyFont="1" applyFill="1" applyBorder="1" applyAlignment="1">
      <alignment horizontal="right"/>
    </xf>
    <xf numFmtId="0" fontId="46" fillId="2" borderId="0" xfId="10" applyFont="1" applyFill="1" applyAlignment="1"/>
    <xf numFmtId="0" fontId="28" fillId="10" borderId="7" xfId="10" applyFont="1" applyFill="1" applyBorder="1" applyAlignment="1">
      <alignment horizontal="right"/>
    </xf>
    <xf numFmtId="0" fontId="22" fillId="0" borderId="119" xfId="3" applyFont="1" applyFill="1" applyBorder="1" applyAlignment="1">
      <alignment horizontal="center"/>
    </xf>
    <xf numFmtId="0" fontId="7" fillId="0" borderId="68" xfId="3" applyFill="1" applyBorder="1" applyAlignment="1">
      <alignment horizontal="center"/>
    </xf>
    <xf numFmtId="0" fontId="7" fillId="0" borderId="71" xfId="3" applyFill="1" applyBorder="1" applyAlignment="1">
      <alignment horizontal="center"/>
    </xf>
    <xf numFmtId="0" fontId="43" fillId="0" borderId="132" xfId="3" applyFont="1" applyFill="1" applyBorder="1" applyAlignment="1"/>
    <xf numFmtId="0" fontId="1" fillId="0" borderId="133" xfId="1" applyNumberFormat="1" applyFont="1" applyBorder="1" applyAlignment="1"/>
    <xf numFmtId="0" fontId="36" fillId="0" borderId="133" xfId="3" applyFont="1" applyFill="1" applyBorder="1" applyAlignment="1"/>
    <xf numFmtId="0" fontId="8" fillId="0" borderId="133" xfId="3" applyFont="1" applyFill="1" applyBorder="1" applyAlignment="1"/>
    <xf numFmtId="166" fontId="1" fillId="0" borderId="133" xfId="1" applyNumberFormat="1" applyFont="1" applyBorder="1" applyAlignment="1">
      <alignment horizontal="center"/>
    </xf>
    <xf numFmtId="164" fontId="1" fillId="0" borderId="133" xfId="1" applyNumberFormat="1" applyFont="1" applyBorder="1" applyAlignment="1">
      <alignment horizontal="center"/>
    </xf>
    <xf numFmtId="0" fontId="8" fillId="0" borderId="107" xfId="3" applyFont="1" applyFill="1" applyBorder="1" applyAlignment="1"/>
    <xf numFmtId="0" fontId="1" fillId="0" borderId="33" xfId="0" applyNumberFormat="1" applyFont="1" applyFill="1" applyBorder="1" applyAlignment="1"/>
    <xf numFmtId="166" fontId="1" fillId="0" borderId="33" xfId="1" applyNumberFormat="1" applyFont="1" applyFill="1" applyBorder="1" applyAlignment="1">
      <alignment horizontal="center"/>
    </xf>
    <xf numFmtId="164" fontId="1" fillId="0" borderId="33" xfId="1" applyNumberFormat="1" applyFont="1" applyFill="1" applyBorder="1" applyAlignment="1">
      <alignment horizontal="center"/>
    </xf>
    <xf numFmtId="0" fontId="33" fillId="0" borderId="33" xfId="3" applyFont="1" applyFill="1" applyBorder="1" applyAlignment="1"/>
    <xf numFmtId="0" fontId="4" fillId="0" borderId="33" xfId="0" applyNumberFormat="1" applyFont="1" applyBorder="1" applyAlignment="1"/>
    <xf numFmtId="166" fontId="4" fillId="0" borderId="33" xfId="1" applyNumberFormat="1" applyFont="1" applyFill="1" applyBorder="1" applyAlignment="1">
      <alignment horizontal="center"/>
    </xf>
    <xf numFmtId="164" fontId="4" fillId="0" borderId="33" xfId="1" applyNumberFormat="1" applyFont="1" applyFill="1" applyBorder="1" applyAlignment="1">
      <alignment horizontal="center"/>
    </xf>
    <xf numFmtId="0" fontId="8" fillId="20" borderId="3" xfId="3" applyNumberFormat="1" applyFont="1" applyFill="1" applyBorder="1" applyAlignment="1"/>
    <xf numFmtId="0" fontId="1" fillId="20" borderId="3" xfId="0" applyNumberFormat="1" applyFont="1" applyFill="1" applyBorder="1" applyAlignment="1"/>
    <xf numFmtId="166" fontId="1" fillId="20" borderId="3" xfId="1" applyNumberFormat="1" applyFont="1" applyFill="1" applyBorder="1" applyAlignment="1">
      <alignment horizontal="center"/>
    </xf>
    <xf numFmtId="164" fontId="8" fillId="20" borderId="3" xfId="3" applyNumberFormat="1" applyFont="1" applyFill="1" applyBorder="1" applyAlignment="1">
      <alignment horizontal="center"/>
    </xf>
    <xf numFmtId="0" fontId="8" fillId="20" borderId="33" xfId="3" applyNumberFormat="1" applyFont="1" applyFill="1" applyBorder="1" applyAlignment="1"/>
    <xf numFmtId="0" fontId="1" fillId="20" borderId="33" xfId="0" applyNumberFormat="1" applyFont="1" applyFill="1" applyBorder="1" applyAlignment="1"/>
    <xf numFmtId="166" fontId="1" fillId="20" borderId="33" xfId="1" applyNumberFormat="1" applyFont="1" applyFill="1" applyBorder="1" applyAlignment="1">
      <alignment horizontal="center"/>
    </xf>
    <xf numFmtId="164" fontId="1" fillId="20" borderId="33" xfId="1" applyNumberFormat="1" applyFont="1" applyFill="1" applyBorder="1" applyAlignment="1">
      <alignment horizontal="center"/>
    </xf>
    <xf numFmtId="0" fontId="8" fillId="8" borderId="3" xfId="3" applyNumberFormat="1" applyFont="1" applyFill="1" applyBorder="1" applyAlignment="1"/>
    <xf numFmtId="0" fontId="1" fillId="8" borderId="3" xfId="1" applyNumberFormat="1" applyFont="1" applyFill="1" applyBorder="1" applyAlignment="1"/>
    <xf numFmtId="166" fontId="1" fillId="8" borderId="3" xfId="1" applyNumberFormat="1" applyFont="1" applyFill="1" applyBorder="1" applyAlignment="1">
      <alignment horizontal="center"/>
    </xf>
    <xf numFmtId="164" fontId="1" fillId="8" borderId="3" xfId="1" applyNumberFormat="1" applyFont="1" applyFill="1" applyBorder="1" applyAlignment="1">
      <alignment horizontal="center"/>
    </xf>
    <xf numFmtId="0" fontId="8" fillId="7" borderId="34" xfId="3" applyFont="1" applyFill="1" applyBorder="1" applyAlignment="1"/>
    <xf numFmtId="0" fontId="1" fillId="7" borderId="34" xfId="1" applyNumberFormat="1" applyFont="1" applyFill="1" applyBorder="1" applyAlignment="1"/>
    <xf numFmtId="166" fontId="1" fillId="7" borderId="34" xfId="1" applyNumberFormat="1" applyFont="1" applyFill="1" applyBorder="1" applyAlignment="1">
      <alignment horizontal="center"/>
    </xf>
    <xf numFmtId="164" fontId="1" fillId="7" borderId="34" xfId="1" applyNumberFormat="1" applyFont="1" applyFill="1" applyBorder="1" applyAlignment="1">
      <alignment horizontal="center"/>
    </xf>
    <xf numFmtId="0" fontId="8" fillId="8" borderId="33" xfId="3" applyNumberFormat="1" applyFont="1" applyFill="1" applyBorder="1" applyAlignment="1"/>
    <xf numFmtId="0" fontId="1" fillId="8" borderId="33" xfId="1" applyNumberFormat="1" applyFont="1" applyFill="1" applyBorder="1" applyAlignment="1"/>
    <xf numFmtId="166" fontId="1" fillId="8" borderId="33" xfId="1" applyNumberFormat="1" applyFont="1" applyFill="1" applyBorder="1" applyAlignment="1">
      <alignment horizontal="center"/>
    </xf>
    <xf numFmtId="164" fontId="1" fillId="8" borderId="33" xfId="1" applyNumberFormat="1" applyFont="1" applyFill="1" applyBorder="1" applyAlignment="1">
      <alignment horizontal="center"/>
    </xf>
    <xf numFmtId="0" fontId="33" fillId="0" borderId="3" xfId="3" applyFont="1" applyFill="1" applyBorder="1" applyAlignment="1"/>
    <xf numFmtId="0" fontId="4" fillId="0" borderId="3" xfId="0" applyNumberFormat="1" applyFont="1" applyBorder="1" applyAlignment="1"/>
    <xf numFmtId="166" fontId="4" fillId="0" borderId="3" xfId="1" applyNumberFormat="1" applyFont="1" applyFill="1" applyBorder="1" applyAlignment="1">
      <alignment horizontal="center"/>
    </xf>
    <xf numFmtId="164" fontId="4" fillId="0" borderId="3" xfId="1" applyNumberFormat="1" applyFont="1" applyFill="1" applyBorder="1" applyAlignment="1">
      <alignment horizontal="center"/>
    </xf>
    <xf numFmtId="0" fontId="8" fillId="22" borderId="3" xfId="3" applyNumberFormat="1" applyFont="1" applyFill="1" applyBorder="1" applyAlignment="1"/>
    <xf numFmtId="0" fontId="1" fillId="22" borderId="3" xfId="0" applyNumberFormat="1" applyFont="1" applyFill="1" applyBorder="1" applyAlignment="1"/>
    <xf numFmtId="166" fontId="1" fillId="22" borderId="3" xfId="1" applyNumberFormat="1" applyFont="1" applyFill="1" applyBorder="1" applyAlignment="1">
      <alignment horizontal="center"/>
    </xf>
    <xf numFmtId="164" fontId="8" fillId="22" borderId="3" xfId="3" applyNumberFormat="1" applyFont="1" applyFill="1" applyBorder="1" applyAlignment="1">
      <alignment horizontal="center"/>
    </xf>
    <xf numFmtId="0" fontId="8" fillId="21" borderId="33" xfId="3" applyNumberFormat="1" applyFont="1" applyFill="1" applyBorder="1" applyAlignment="1"/>
    <xf numFmtId="0" fontId="1" fillId="21" borderId="33" xfId="0" applyNumberFormat="1" applyFont="1" applyFill="1" applyBorder="1" applyAlignment="1"/>
    <xf numFmtId="166" fontId="1" fillId="21" borderId="33" xfId="1" applyNumberFormat="1" applyFont="1" applyFill="1" applyBorder="1" applyAlignment="1">
      <alignment horizontal="center"/>
    </xf>
    <xf numFmtId="164" fontId="8" fillId="21" borderId="33" xfId="3" applyNumberFormat="1" applyFont="1" applyFill="1" applyBorder="1" applyAlignment="1">
      <alignment horizontal="center"/>
    </xf>
    <xf numFmtId="0" fontId="33" fillId="0" borderId="33" xfId="3" applyNumberFormat="1" applyFont="1" applyFill="1" applyBorder="1" applyAlignment="1"/>
    <xf numFmtId="0" fontId="8" fillId="16" borderId="33" xfId="3" applyFont="1" applyFill="1" applyBorder="1" applyAlignment="1"/>
    <xf numFmtId="0" fontId="1" fillId="16" borderId="33" xfId="0" applyNumberFormat="1" applyFont="1" applyFill="1" applyBorder="1" applyAlignment="1"/>
    <xf numFmtId="166" fontId="1" fillId="16" borderId="33" xfId="1" applyNumberFormat="1" applyFont="1" applyFill="1" applyBorder="1" applyAlignment="1">
      <alignment horizontal="center"/>
    </xf>
    <xf numFmtId="164" fontId="1" fillId="16" borderId="33" xfId="1" applyNumberFormat="1" applyFont="1" applyFill="1" applyBorder="1" applyAlignment="1">
      <alignment horizontal="center"/>
    </xf>
    <xf numFmtId="0" fontId="8" fillId="15" borderId="3" xfId="3" applyFont="1" applyFill="1" applyBorder="1" applyAlignment="1"/>
    <xf numFmtId="0" fontId="1" fillId="15" borderId="3" xfId="0" applyNumberFormat="1" applyFont="1" applyFill="1" applyBorder="1" applyAlignment="1"/>
    <xf numFmtId="166" fontId="1" fillId="15" borderId="3" xfId="0" applyNumberFormat="1" applyFont="1" applyFill="1" applyBorder="1" applyAlignment="1">
      <alignment horizontal="center"/>
    </xf>
    <xf numFmtId="164" fontId="1" fillId="15" borderId="3" xfId="1" applyNumberFormat="1" applyFont="1" applyFill="1" applyBorder="1" applyAlignment="1">
      <alignment horizontal="center"/>
    </xf>
    <xf numFmtId="0" fontId="64" fillId="17" borderId="34" xfId="3" applyFont="1" applyFill="1" applyBorder="1" applyAlignment="1"/>
    <xf numFmtId="0" fontId="74" fillId="17" borderId="34" xfId="0" applyNumberFormat="1" applyFont="1" applyFill="1" applyBorder="1" applyAlignment="1"/>
    <xf numFmtId="166" fontId="74" fillId="17" borderId="34" xfId="1" applyNumberFormat="1" applyFont="1" applyFill="1" applyBorder="1" applyAlignment="1">
      <alignment horizontal="center"/>
    </xf>
    <xf numFmtId="164" fontId="74" fillId="17" borderId="34" xfId="1" applyNumberFormat="1" applyFont="1" applyFill="1" applyBorder="1" applyAlignment="1">
      <alignment horizontal="center"/>
    </xf>
    <xf numFmtId="166" fontId="1" fillId="0" borderId="0" xfId="1" applyNumberFormat="1" applyFont="1" applyBorder="1" applyAlignment="1">
      <alignment horizontal="center"/>
    </xf>
    <xf numFmtId="164" fontId="1" fillId="0" borderId="0" xfId="1" applyNumberFormat="1" applyFont="1" applyAlignment="1">
      <alignment horizontal="center"/>
    </xf>
    <xf numFmtId="0" fontId="8" fillId="7" borderId="3" xfId="3" applyFont="1" applyFill="1" applyBorder="1" applyAlignment="1"/>
    <xf numFmtId="0" fontId="1" fillId="7" borderId="3" xfId="1" applyNumberFormat="1" applyFont="1" applyFill="1" applyBorder="1" applyAlignment="1"/>
    <xf numFmtId="166" fontId="1" fillId="7" borderId="3" xfId="1" applyNumberFormat="1" applyFont="1" applyFill="1" applyBorder="1" applyAlignment="1">
      <alignment horizontal="center"/>
    </xf>
    <xf numFmtId="164" fontId="1" fillId="7" borderId="3" xfId="1" applyNumberFormat="1" applyFont="1" applyFill="1" applyBorder="1" applyAlignment="1">
      <alignment horizontal="center"/>
    </xf>
    <xf numFmtId="0" fontId="33" fillId="0" borderId="33" xfId="3" applyFont="1" applyFill="1" applyBorder="1"/>
    <xf numFmtId="0" fontId="33" fillId="0" borderId="3" xfId="3" applyFont="1" applyFill="1" applyBorder="1"/>
    <xf numFmtId="0" fontId="8" fillId="10" borderId="34" xfId="3" applyFont="1" applyFill="1" applyBorder="1"/>
    <xf numFmtId="0" fontId="1" fillId="10" borderId="3" xfId="0" applyNumberFormat="1" applyFont="1" applyFill="1" applyBorder="1" applyAlignment="1"/>
    <xf numFmtId="166" fontId="1" fillId="10" borderId="3" xfId="1" applyNumberFormat="1" applyFont="1" applyFill="1" applyBorder="1" applyAlignment="1">
      <alignment horizontal="center"/>
    </xf>
    <xf numFmtId="164" fontId="1" fillId="10" borderId="3" xfId="1" applyNumberFormat="1" applyFont="1" applyFill="1" applyBorder="1" applyAlignment="1">
      <alignment horizontal="center"/>
    </xf>
    <xf numFmtId="0" fontId="8" fillId="10" borderId="33" xfId="3" applyFont="1" applyFill="1" applyBorder="1" applyAlignment="1"/>
    <xf numFmtId="0" fontId="1" fillId="10" borderId="33" xfId="0" applyNumberFormat="1" applyFont="1" applyFill="1" applyBorder="1" applyAlignment="1"/>
    <xf numFmtId="166" fontId="1" fillId="10" borderId="33" xfId="1" applyNumberFormat="1" applyFont="1" applyFill="1" applyBorder="1" applyAlignment="1">
      <alignment horizontal="center"/>
    </xf>
    <xf numFmtId="164" fontId="1" fillId="10" borderId="33" xfId="1" applyNumberFormat="1" applyFont="1" applyFill="1" applyBorder="1" applyAlignment="1">
      <alignment horizontal="center"/>
    </xf>
    <xf numFmtId="0" fontId="8" fillId="8" borderId="127" xfId="3" applyNumberFormat="1" applyFont="1" applyFill="1" applyBorder="1" applyAlignment="1"/>
    <xf numFmtId="0" fontId="1" fillId="8" borderId="127" xfId="1" applyNumberFormat="1" applyFont="1" applyFill="1" applyBorder="1" applyAlignment="1"/>
    <xf numFmtId="166" fontId="1" fillId="8" borderId="127" xfId="1" applyNumberFormat="1" applyFont="1" applyFill="1" applyBorder="1" applyAlignment="1">
      <alignment horizontal="center"/>
    </xf>
    <xf numFmtId="164" fontId="1" fillId="8" borderId="127" xfId="1" applyNumberFormat="1" applyFont="1" applyFill="1" applyBorder="1" applyAlignment="1">
      <alignment horizontal="center"/>
    </xf>
    <xf numFmtId="0" fontId="33" fillId="0" borderId="127" xfId="3" applyNumberFormat="1" applyFont="1" applyFill="1" applyBorder="1" applyAlignment="1"/>
    <xf numFmtId="0" fontId="4" fillId="0" borderId="127" xfId="1" applyNumberFormat="1" applyFont="1" applyFill="1" applyBorder="1" applyAlignment="1"/>
    <xf numFmtId="166" fontId="4" fillId="0" borderId="127" xfId="1" applyNumberFormat="1" applyFont="1" applyFill="1" applyBorder="1" applyAlignment="1">
      <alignment horizontal="center"/>
    </xf>
    <xf numFmtId="164" fontId="4" fillId="0" borderId="127" xfId="1" applyNumberFormat="1" applyFont="1" applyFill="1" applyBorder="1" applyAlignment="1">
      <alignment horizontal="center"/>
    </xf>
    <xf numFmtId="0" fontId="33" fillId="0" borderId="127" xfId="3" applyFont="1" applyFill="1" applyBorder="1" applyAlignment="1"/>
    <xf numFmtId="0" fontId="4" fillId="0" borderId="127" xfId="0" applyNumberFormat="1" applyFont="1" applyBorder="1" applyAlignment="1"/>
    <xf numFmtId="0" fontId="8" fillId="8" borderId="123" xfId="3" applyNumberFormat="1" applyFont="1" applyFill="1" applyBorder="1" applyAlignment="1"/>
    <xf numFmtId="0" fontId="1" fillId="8" borderId="123" xfId="1" applyNumberFormat="1" applyFont="1" applyFill="1" applyBorder="1" applyAlignment="1"/>
    <xf numFmtId="166" fontId="1" fillId="8" borderId="123" xfId="1" applyNumberFormat="1" applyFont="1" applyFill="1" applyBorder="1" applyAlignment="1">
      <alignment horizontal="center"/>
    </xf>
    <xf numFmtId="164" fontId="1" fillId="8" borderId="123" xfId="1" applyNumberFormat="1" applyFont="1" applyFill="1" applyBorder="1" applyAlignment="1">
      <alignment horizontal="center"/>
    </xf>
    <xf numFmtId="0" fontId="8" fillId="8" borderId="3" xfId="3" applyNumberFormat="1" applyFont="1" applyFill="1" applyBorder="1" applyAlignment="1">
      <alignment vertical="center"/>
    </xf>
    <xf numFmtId="0" fontId="1" fillId="8" borderId="3" xfId="1" applyNumberFormat="1" applyFont="1" applyFill="1" applyBorder="1" applyAlignment="1">
      <alignment vertical="center"/>
    </xf>
    <xf numFmtId="0" fontId="8" fillId="16" borderId="127" xfId="3" applyNumberFormat="1" applyFont="1" applyFill="1" applyBorder="1" applyAlignment="1">
      <alignment vertical="center"/>
    </xf>
    <xf numFmtId="0" fontId="1" fillId="16" borderId="127" xfId="1" applyNumberFormat="1" applyFont="1" applyFill="1" applyBorder="1" applyAlignment="1">
      <alignment vertical="center"/>
    </xf>
    <xf numFmtId="166" fontId="1" fillId="16" borderId="127" xfId="1" applyNumberFormat="1" applyFont="1" applyFill="1" applyBorder="1" applyAlignment="1">
      <alignment horizontal="center"/>
    </xf>
    <xf numFmtId="164" fontId="1" fillId="16" borderId="127" xfId="1" applyNumberFormat="1" applyFont="1" applyFill="1" applyBorder="1" applyAlignment="1">
      <alignment horizontal="center"/>
    </xf>
    <xf numFmtId="0" fontId="8" fillId="16" borderId="132" xfId="3" applyNumberFormat="1" applyFont="1" applyFill="1" applyBorder="1" applyAlignment="1">
      <alignment vertical="center"/>
    </xf>
    <xf numFmtId="0" fontId="1" fillId="16" borderId="132" xfId="1" applyNumberFormat="1" applyFont="1" applyFill="1" applyBorder="1" applyAlignment="1">
      <alignment vertical="center"/>
    </xf>
    <xf numFmtId="166" fontId="1" fillId="16" borderId="132" xfId="1" applyNumberFormat="1" applyFont="1" applyFill="1" applyBorder="1" applyAlignment="1">
      <alignment horizontal="center"/>
    </xf>
    <xf numFmtId="164" fontId="1" fillId="16" borderId="132" xfId="1" applyNumberFormat="1" applyFont="1" applyFill="1" applyBorder="1" applyAlignment="1">
      <alignment horizontal="center"/>
    </xf>
    <xf numFmtId="0" fontId="8" fillId="15" borderId="132" xfId="3" applyNumberFormat="1" applyFont="1" applyFill="1" applyBorder="1" applyAlignment="1">
      <alignment vertical="center"/>
    </xf>
    <xf numFmtId="0" fontId="1" fillId="15" borderId="132" xfId="1" applyNumberFormat="1" applyFont="1" applyFill="1" applyBorder="1" applyAlignment="1">
      <alignment vertical="center"/>
    </xf>
    <xf numFmtId="166" fontId="1" fillId="15" borderId="132" xfId="1" applyNumberFormat="1" applyFont="1" applyFill="1" applyBorder="1" applyAlignment="1">
      <alignment horizontal="center"/>
    </xf>
    <xf numFmtId="164" fontId="1" fillId="15" borderId="132" xfId="1" applyNumberFormat="1" applyFont="1" applyFill="1" applyBorder="1" applyAlignment="1">
      <alignment horizontal="center"/>
    </xf>
    <xf numFmtId="0" fontId="33" fillId="0" borderId="132" xfId="3" applyFont="1" applyFill="1" applyBorder="1" applyAlignment="1"/>
    <xf numFmtId="0" fontId="4" fillId="0" borderId="132" xfId="0" applyNumberFormat="1" applyFont="1" applyBorder="1" applyAlignment="1"/>
    <xf numFmtId="166" fontId="4" fillId="0" borderId="132" xfId="1" applyNumberFormat="1" applyFont="1" applyFill="1" applyBorder="1" applyAlignment="1">
      <alignment horizontal="center"/>
    </xf>
    <xf numFmtId="164" fontId="4" fillId="0" borderId="132" xfId="1" applyNumberFormat="1" applyFont="1" applyFill="1" applyBorder="1" applyAlignment="1">
      <alignment horizontal="center"/>
    </xf>
    <xf numFmtId="0" fontId="1" fillId="0" borderId="33" xfId="1" applyNumberFormat="1" applyFont="1" applyFill="1" applyBorder="1" applyAlignment="1"/>
    <xf numFmtId="49" fontId="1" fillId="0" borderId="33" xfId="0" applyNumberFormat="1" applyFont="1" applyFill="1" applyBorder="1" applyAlignment="1"/>
    <xf numFmtId="0" fontId="4" fillId="0" borderId="33" xfId="1" applyNumberFormat="1" applyFont="1" applyFill="1" applyBorder="1" applyAlignment="1"/>
    <xf numFmtId="49" fontId="4" fillId="0" borderId="33" xfId="1" applyNumberFormat="1" applyFont="1" applyFill="1" applyBorder="1" applyAlignment="1"/>
    <xf numFmtId="0" fontId="1" fillId="20" borderId="3" xfId="1" applyNumberFormat="1" applyFont="1" applyFill="1" applyBorder="1" applyAlignment="1"/>
    <xf numFmtId="49" fontId="1" fillId="20" borderId="3" xfId="0" applyNumberFormat="1" applyFont="1" applyFill="1" applyBorder="1" applyAlignment="1"/>
    <xf numFmtId="0" fontId="1" fillId="20" borderId="33" xfId="1" applyNumberFormat="1" applyFont="1" applyFill="1" applyBorder="1" applyAlignment="1"/>
    <xf numFmtId="49" fontId="1" fillId="20" borderId="33" xfId="0" applyNumberFormat="1" applyFont="1" applyFill="1" applyBorder="1" applyAlignment="1"/>
    <xf numFmtId="49" fontId="1" fillId="8" borderId="3" xfId="0" applyNumberFormat="1" applyFont="1" applyFill="1" applyBorder="1" applyAlignment="1"/>
    <xf numFmtId="0" fontId="1" fillId="8" borderId="3" xfId="0" applyNumberFormat="1" applyFont="1" applyFill="1" applyBorder="1" applyAlignment="1"/>
    <xf numFmtId="49" fontId="1" fillId="7" borderId="34" xfId="1" applyNumberFormat="1" applyFont="1" applyFill="1" applyBorder="1" applyAlignment="1"/>
    <xf numFmtId="14" fontId="4" fillId="0" borderId="33" xfId="1" applyNumberFormat="1" applyFont="1" applyFill="1" applyBorder="1" applyAlignment="1"/>
    <xf numFmtId="49" fontId="1" fillId="8" borderId="33" xfId="0" applyNumberFormat="1" applyFont="1" applyFill="1" applyBorder="1" applyAlignment="1"/>
    <xf numFmtId="0" fontId="1" fillId="8" borderId="33" xfId="0" applyNumberFormat="1" applyFont="1" applyFill="1" applyBorder="1" applyAlignment="1"/>
    <xf numFmtId="0" fontId="4" fillId="0" borderId="3" xfId="1" applyNumberFormat="1" applyFont="1" applyFill="1" applyBorder="1" applyAlignment="1"/>
    <xf numFmtId="49" fontId="4" fillId="0" borderId="3" xfId="1" applyNumberFormat="1" applyFont="1" applyFill="1" applyBorder="1" applyAlignment="1"/>
    <xf numFmtId="0" fontId="1" fillId="22" borderId="3" xfId="1" applyNumberFormat="1" applyFont="1" applyFill="1" applyBorder="1" applyAlignment="1"/>
    <xf numFmtId="49" fontId="1" fillId="22" borderId="3" xfId="0" applyNumberFormat="1" applyFont="1" applyFill="1" applyBorder="1" applyAlignment="1"/>
    <xf numFmtId="0" fontId="1" fillId="22" borderId="3" xfId="3" applyNumberFormat="1" applyFont="1" applyFill="1" applyBorder="1" applyAlignment="1"/>
    <xf numFmtId="0" fontId="1" fillId="21" borderId="33" xfId="1" applyNumberFormat="1" applyFont="1" applyFill="1" applyBorder="1" applyAlignment="1"/>
    <xf numFmtId="49" fontId="1" fillId="21" borderId="33" xfId="0" applyNumberFormat="1" applyFont="1" applyFill="1" applyBorder="1" applyAlignment="1"/>
    <xf numFmtId="0" fontId="1" fillId="16" borderId="33" xfId="1" applyNumberFormat="1" applyFont="1" applyFill="1" applyBorder="1" applyAlignment="1"/>
    <xf numFmtId="49" fontId="1" fillId="16" borderId="33" xfId="1" applyNumberFormat="1" applyFont="1" applyFill="1" applyBorder="1" applyAlignment="1"/>
    <xf numFmtId="0" fontId="1" fillId="15" borderId="3" xfId="0" applyNumberFormat="1" applyFont="1" applyFill="1" applyBorder="1" applyAlignment="1">
      <alignment vertical="center"/>
    </xf>
    <xf numFmtId="49" fontId="1" fillId="15" borderId="3" xfId="0" applyNumberFormat="1" applyFont="1" applyFill="1" applyBorder="1" applyAlignment="1"/>
    <xf numFmtId="0" fontId="74" fillId="17" borderId="34" xfId="1" applyNumberFormat="1" applyFont="1" applyFill="1" applyBorder="1" applyAlignment="1"/>
    <xf numFmtId="49" fontId="74" fillId="17" borderId="34" xfId="1" applyNumberFormat="1" applyFont="1" applyFill="1" applyBorder="1" applyAlignment="1"/>
    <xf numFmtId="49" fontId="1" fillId="7" borderId="3" xfId="1" applyNumberFormat="1" applyFont="1" applyFill="1" applyBorder="1" applyAlignment="1"/>
    <xf numFmtId="0" fontId="4" fillId="0" borderId="3" xfId="1" applyNumberFormat="1" applyFont="1" applyBorder="1" applyAlignment="1"/>
    <xf numFmtId="0" fontId="1" fillId="10" borderId="3" xfId="1" applyNumberFormat="1" applyFont="1" applyFill="1" applyBorder="1" applyAlignment="1"/>
    <xf numFmtId="49" fontId="1" fillId="10" borderId="3" xfId="1" applyNumberFormat="1" applyFont="1" applyFill="1" applyBorder="1" applyAlignment="1"/>
    <xf numFmtId="0" fontId="8" fillId="10" borderId="3" xfId="3" applyNumberFormat="1" applyFont="1" applyFill="1" applyBorder="1" applyAlignment="1"/>
    <xf numFmtId="0" fontId="1" fillId="10" borderId="33" xfId="1" applyNumberFormat="1" applyFont="1" applyFill="1" applyBorder="1" applyAlignment="1"/>
    <xf numFmtId="49" fontId="1" fillId="10" borderId="33" xfId="1" applyNumberFormat="1" applyFont="1" applyFill="1" applyBorder="1" applyAlignment="1"/>
    <xf numFmtId="0" fontId="8" fillId="10" borderId="33" xfId="3" applyNumberFormat="1" applyFont="1" applyFill="1" applyBorder="1" applyAlignment="1"/>
    <xf numFmtId="49" fontId="1" fillId="8" borderId="127" xfId="0" applyNumberFormat="1" applyFont="1" applyFill="1" applyBorder="1" applyAlignment="1"/>
    <xf numFmtId="0" fontId="1" fillId="8" borderId="127" xfId="0" applyNumberFormat="1" applyFont="1" applyFill="1" applyBorder="1" applyAlignment="1"/>
    <xf numFmtId="49" fontId="4" fillId="0" borderId="127" xfId="1" applyNumberFormat="1" applyFont="1" applyFill="1" applyBorder="1" applyAlignment="1"/>
    <xf numFmtId="49" fontId="4" fillId="0" borderId="127" xfId="1" applyNumberFormat="1" applyFont="1" applyBorder="1" applyAlignment="1"/>
    <xf numFmtId="49" fontId="1" fillId="8" borderId="123" xfId="0" applyNumberFormat="1" applyFont="1" applyFill="1" applyBorder="1" applyAlignment="1"/>
    <xf numFmtId="0" fontId="1" fillId="8" borderId="123" xfId="0" applyNumberFormat="1" applyFont="1" applyFill="1" applyBorder="1" applyAlignment="1"/>
    <xf numFmtId="49" fontId="1" fillId="8" borderId="3" xfId="1" applyNumberFormat="1" applyFont="1" applyFill="1" applyBorder="1" applyAlignment="1">
      <alignment vertical="center"/>
    </xf>
    <xf numFmtId="49" fontId="1" fillId="16" borderId="127" xfId="1" applyNumberFormat="1" applyFont="1" applyFill="1" applyBorder="1" applyAlignment="1">
      <alignment vertical="center"/>
    </xf>
    <xf numFmtId="0" fontId="1" fillId="16" borderId="127" xfId="1" applyNumberFormat="1" applyFont="1" applyFill="1" applyBorder="1" applyAlignment="1"/>
    <xf numFmtId="49" fontId="1" fillId="16" borderId="132" xfId="1" applyNumberFormat="1" applyFont="1" applyFill="1" applyBorder="1" applyAlignment="1">
      <alignment vertical="center"/>
    </xf>
    <xf numFmtId="0" fontId="1" fillId="16" borderId="132" xfId="1" applyNumberFormat="1" applyFont="1" applyFill="1" applyBorder="1" applyAlignment="1"/>
    <xf numFmtId="49" fontId="1" fillId="7" borderId="133" xfId="1" applyNumberFormat="1" applyFont="1" applyFill="1" applyBorder="1" applyAlignment="1"/>
    <xf numFmtId="49" fontId="1" fillId="15" borderId="132" xfId="1" applyNumberFormat="1" applyFont="1" applyFill="1" applyBorder="1" applyAlignment="1">
      <alignment vertical="center"/>
    </xf>
    <xf numFmtId="0" fontId="1" fillId="15" borderId="132" xfId="1" applyNumberFormat="1" applyFont="1" applyFill="1" applyBorder="1" applyAlignment="1"/>
    <xf numFmtId="0" fontId="4" fillId="0" borderId="132" xfId="1" applyNumberFormat="1" applyFont="1" applyFill="1" applyBorder="1" applyAlignment="1">
      <alignment vertical="center"/>
    </xf>
    <xf numFmtId="49" fontId="4" fillId="0" borderId="132" xfId="1" applyNumberFormat="1" applyFont="1" applyBorder="1" applyAlignment="1"/>
    <xf numFmtId="0" fontId="4" fillId="0" borderId="132" xfId="1" applyNumberFormat="1" applyFont="1" applyFill="1" applyBorder="1" applyAlignment="1"/>
    <xf numFmtId="0" fontId="1" fillId="0" borderId="133" xfId="1" applyNumberFormat="1" applyFont="1" applyFill="1" applyBorder="1" applyAlignment="1"/>
    <xf numFmtId="49" fontId="1" fillId="0" borderId="133" xfId="1" applyNumberFormat="1" applyFont="1" applyFill="1" applyBorder="1" applyAlignment="1"/>
    <xf numFmtId="0" fontId="4" fillId="0" borderId="127" xfId="1" applyNumberFormat="1" applyFont="1" applyBorder="1" applyAlignment="1"/>
    <xf numFmtId="0" fontId="1" fillId="16" borderId="127" xfId="0" applyNumberFormat="1" applyFont="1" applyFill="1" applyBorder="1" applyAlignment="1"/>
    <xf numFmtId="0" fontId="1" fillId="16" borderId="132" xfId="0" applyNumberFormat="1" applyFont="1" applyFill="1" applyBorder="1" applyAlignment="1"/>
    <xf numFmtId="0" fontId="1" fillId="15" borderId="132" xfId="0" applyNumberFormat="1" applyFont="1" applyFill="1" applyBorder="1" applyAlignment="1"/>
    <xf numFmtId="0" fontId="4" fillId="0" borderId="132" xfId="1" applyNumberFormat="1" applyFont="1" applyBorder="1" applyAlignment="1"/>
    <xf numFmtId="0" fontId="8" fillId="8" borderId="51" xfId="3" applyFont="1" applyFill="1" applyBorder="1" applyAlignment="1"/>
    <xf numFmtId="0" fontId="8" fillId="16" borderId="1" xfId="3" applyFont="1" applyFill="1" applyBorder="1" applyAlignment="1"/>
    <xf numFmtId="0" fontId="8" fillId="8" borderId="78" xfId="4" applyFont="1" applyFill="1" applyBorder="1" applyAlignment="1"/>
    <xf numFmtId="0" fontId="4" fillId="6" borderId="1" xfId="3" quotePrefix="1" applyFont="1" applyFill="1" applyBorder="1" applyAlignment="1"/>
    <xf numFmtId="0" fontId="33" fillId="6" borderId="38" xfId="3" applyFont="1" applyFill="1" applyBorder="1" applyAlignment="1"/>
    <xf numFmtId="0" fontId="1" fillId="8" borderId="1" xfId="0" applyFont="1" applyFill="1" applyBorder="1" applyAlignment="1"/>
    <xf numFmtId="0" fontId="8" fillId="8" borderId="59" xfId="4" applyFont="1" applyFill="1" applyBorder="1" applyAlignment="1"/>
    <xf numFmtId="0" fontId="33" fillId="0" borderId="1" xfId="3" applyFont="1" applyFill="1" applyBorder="1" applyAlignment="1"/>
    <xf numFmtId="0" fontId="4" fillId="0" borderId="1" xfId="1" applyFont="1" applyFill="1" applyBorder="1" applyAlignment="1"/>
    <xf numFmtId="0" fontId="33" fillId="18" borderId="59" xfId="3" applyFont="1" applyFill="1" applyBorder="1" applyAlignment="1"/>
    <xf numFmtId="0" fontId="33" fillId="6" borderId="1" xfId="3" applyFont="1" applyFill="1" applyBorder="1" applyAlignment="1"/>
    <xf numFmtId="0" fontId="4" fillId="6" borderId="1" xfId="1" applyFont="1" applyFill="1" applyBorder="1" applyAlignment="1"/>
    <xf numFmtId="0" fontId="4" fillId="0" borderId="1" xfId="0" applyFont="1" applyFill="1" applyBorder="1" applyAlignment="1"/>
    <xf numFmtId="0" fontId="8" fillId="8" borderId="75" xfId="3" applyFont="1" applyFill="1" applyBorder="1" applyAlignment="1"/>
    <xf numFmtId="0" fontId="8" fillId="8" borderId="1" xfId="4" applyFont="1" applyFill="1" applyBorder="1" applyAlignment="1"/>
    <xf numFmtId="0" fontId="8" fillId="18" borderId="1" xfId="3" applyFont="1" applyFill="1" applyBorder="1" applyAlignment="1"/>
    <xf numFmtId="0" fontId="1" fillId="15" borderId="51" xfId="3" applyFont="1" applyFill="1" applyBorder="1" applyAlignment="1"/>
    <xf numFmtId="0" fontId="1" fillId="15" borderId="1" xfId="3" applyFont="1" applyFill="1" applyBorder="1" applyAlignment="1"/>
    <xf numFmtId="0" fontId="8" fillId="15" borderId="38" xfId="4" applyFont="1" applyFill="1" applyBorder="1" applyAlignment="1"/>
    <xf numFmtId="0" fontId="33" fillId="0" borderId="51" xfId="3" applyFont="1" applyFill="1" applyBorder="1" applyAlignment="1"/>
    <xf numFmtId="0" fontId="33" fillId="2" borderId="38" xfId="3" applyFont="1" applyFill="1" applyBorder="1" applyAlignment="1"/>
    <xf numFmtId="0" fontId="1" fillId="0" borderId="0" xfId="0" applyFont="1" applyFill="1" applyBorder="1" applyAlignment="1"/>
    <xf numFmtId="0" fontId="75" fillId="0" borderId="1" xfId="3" applyFont="1" applyFill="1" applyBorder="1" applyAlignment="1">
      <alignment vertical="top"/>
    </xf>
    <xf numFmtId="0" fontId="23" fillId="0" borderId="1" xfId="0" applyFont="1" applyFill="1" applyBorder="1" applyAlignment="1"/>
    <xf numFmtId="0" fontId="75" fillId="0" borderId="59" xfId="3" applyFont="1" applyFill="1" applyBorder="1" applyAlignment="1"/>
    <xf numFmtId="0" fontId="33" fillId="0" borderId="59" xfId="3" applyFont="1" applyFill="1" applyBorder="1" applyAlignment="1"/>
    <xf numFmtId="0" fontId="33" fillId="6" borderId="51" xfId="3" applyFont="1" applyFill="1" applyBorder="1" applyAlignment="1"/>
    <xf numFmtId="0" fontId="4" fillId="6" borderId="1" xfId="1" applyFont="1" applyFill="1" applyBorder="1" applyAlignment="1">
      <alignment vertical="top"/>
    </xf>
    <xf numFmtId="0" fontId="33" fillId="2" borderId="38" xfId="3" applyFont="1" applyFill="1" applyBorder="1"/>
    <xf numFmtId="0" fontId="8" fillId="0" borderId="59" xfId="3" applyFont="1" applyFill="1" applyBorder="1" applyAlignment="1"/>
    <xf numFmtId="0" fontId="4" fillId="6" borderId="1" xfId="3" applyFont="1" applyFill="1" applyBorder="1" applyAlignment="1"/>
    <xf numFmtId="0" fontId="33" fillId="8" borderId="1" xfId="3" applyFont="1" applyFill="1" applyBorder="1" applyAlignment="1"/>
    <xf numFmtId="0" fontId="33" fillId="8" borderId="124" xfId="3" applyFont="1" applyFill="1" applyBorder="1" applyAlignment="1"/>
    <xf numFmtId="0" fontId="8" fillId="8" borderId="1" xfId="3" applyFont="1" applyFill="1" applyBorder="1" applyAlignment="1"/>
    <xf numFmtId="0" fontId="8" fillId="8" borderId="76" xfId="3" applyFont="1" applyFill="1" applyBorder="1" applyAlignment="1"/>
    <xf numFmtId="0" fontId="1" fillId="8" borderId="66" xfId="0" applyFont="1" applyFill="1" applyBorder="1" applyAlignment="1"/>
    <xf numFmtId="0" fontId="8" fillId="8" borderId="66" xfId="4" applyFont="1" applyFill="1" applyBorder="1" applyAlignment="1"/>
    <xf numFmtId="0" fontId="4" fillId="6" borderId="1" xfId="0" applyFont="1" applyFill="1" applyBorder="1" applyAlignment="1"/>
    <xf numFmtId="0" fontId="33" fillId="6" borderId="38" xfId="3" applyFont="1" applyFill="1" applyBorder="1"/>
    <xf numFmtId="0" fontId="33" fillId="0" borderId="59" xfId="3" applyFont="1" applyBorder="1" applyAlignment="1"/>
    <xf numFmtId="0" fontId="76" fillId="0" borderId="75" xfId="3" applyFont="1" applyFill="1" applyBorder="1" applyAlignment="1"/>
    <xf numFmtId="0" fontId="33" fillId="0" borderId="65" xfId="3" applyFont="1" applyFill="1" applyBorder="1" applyAlignment="1"/>
    <xf numFmtId="0" fontId="4" fillId="0" borderId="66" xfId="0" applyFont="1" applyFill="1" applyBorder="1" applyAlignment="1"/>
    <xf numFmtId="0" fontId="8" fillId="0" borderId="69" xfId="3" applyFont="1" applyFill="1" applyBorder="1" applyAlignment="1"/>
    <xf numFmtId="0" fontId="75" fillId="0" borderId="59" xfId="3" applyFont="1" applyBorder="1" applyAlignment="1"/>
    <xf numFmtId="0" fontId="33" fillId="6" borderId="59" xfId="3" applyFont="1" applyFill="1" applyBorder="1"/>
    <xf numFmtId="0" fontId="8" fillId="8" borderId="38" xfId="4" applyFont="1" applyFill="1" applyBorder="1" applyAlignment="1"/>
    <xf numFmtId="0" fontId="23" fillId="0" borderId="38" xfId="3" applyFont="1" applyFill="1" applyBorder="1" applyAlignment="1">
      <alignment vertical="top"/>
    </xf>
    <xf numFmtId="0" fontId="23" fillId="0" borderId="43" xfId="3" applyFont="1" applyFill="1" applyBorder="1" applyAlignment="1">
      <alignment vertical="top"/>
    </xf>
    <xf numFmtId="0" fontId="33" fillId="0" borderId="0" xfId="3" applyFont="1" applyFill="1" applyBorder="1" applyAlignment="1"/>
    <xf numFmtId="0" fontId="33" fillId="0" borderId="61" xfId="3" applyFont="1" applyFill="1" applyBorder="1" applyAlignment="1"/>
    <xf numFmtId="0" fontId="33" fillId="6" borderId="59" xfId="3" applyFont="1" applyFill="1" applyBorder="1" applyAlignment="1"/>
    <xf numFmtId="0" fontId="8" fillId="10" borderId="51" xfId="3" applyFont="1" applyFill="1" applyBorder="1" applyAlignment="1"/>
    <xf numFmtId="0" fontId="1" fillId="10" borderId="1" xfId="3" applyFont="1" applyFill="1" applyBorder="1" applyAlignment="1"/>
    <xf numFmtId="0" fontId="8" fillId="10" borderId="59" xfId="3" applyFont="1" applyFill="1" applyBorder="1" applyAlignment="1"/>
    <xf numFmtId="0" fontId="8" fillId="2" borderId="53" xfId="3" applyFont="1" applyFill="1" applyBorder="1" applyAlignment="1"/>
    <xf numFmtId="0" fontId="1" fillId="2" borderId="0" xfId="1" applyFont="1" applyFill="1" applyAlignment="1">
      <alignment vertical="top"/>
    </xf>
    <xf numFmtId="0" fontId="1" fillId="2" borderId="0" xfId="1" applyFont="1" applyFill="1" applyBorder="1" applyAlignment="1">
      <alignment vertical="top"/>
    </xf>
    <xf numFmtId="0" fontId="8" fillId="8" borderId="69" xfId="3" applyFont="1" applyFill="1" applyBorder="1" applyAlignment="1"/>
    <xf numFmtId="0" fontId="8" fillId="0" borderId="66" xfId="3" applyFont="1" applyFill="1" applyBorder="1" applyAlignment="1">
      <alignment vertical="top"/>
    </xf>
    <xf numFmtId="0" fontId="75" fillId="0" borderId="1" xfId="3" applyFont="1" applyFill="1" applyBorder="1" applyAlignment="1"/>
    <xf numFmtId="0" fontId="23" fillId="0" borderId="1" xfId="3" applyFont="1" applyBorder="1"/>
    <xf numFmtId="0" fontId="8" fillId="0" borderId="94" xfId="3" applyFont="1" applyFill="1" applyBorder="1" applyAlignment="1">
      <alignment vertical="top" wrapText="1"/>
    </xf>
    <xf numFmtId="0" fontId="1" fillId="0" borderId="1" xfId="19" applyFont="1" applyFill="1" applyBorder="1" applyAlignment="1">
      <alignment vertical="top"/>
    </xf>
    <xf numFmtId="0" fontId="8" fillId="8" borderId="38" xfId="3" applyFont="1" applyFill="1" applyBorder="1" applyAlignment="1"/>
    <xf numFmtId="0" fontId="8" fillId="23" borderId="91" xfId="3" applyFont="1" applyFill="1" applyBorder="1" applyAlignment="1">
      <alignment vertical="top"/>
    </xf>
    <xf numFmtId="0" fontId="1" fillId="23" borderId="1" xfId="19" applyFont="1" applyFill="1" applyBorder="1" applyAlignment="1">
      <alignment vertical="top"/>
    </xf>
    <xf numFmtId="0" fontId="8" fillId="23" borderId="93" xfId="3" applyFont="1" applyFill="1" applyBorder="1" applyAlignment="1">
      <alignment vertical="top"/>
    </xf>
    <xf numFmtId="0" fontId="23" fillId="0" borderId="59" xfId="3" applyFont="1" applyFill="1" applyBorder="1" applyAlignment="1"/>
    <xf numFmtId="0" fontId="1" fillId="0" borderId="0" xfId="9" applyFont="1" applyFill="1" applyBorder="1" applyAlignment="1">
      <alignment horizontal="center"/>
    </xf>
    <xf numFmtId="0" fontId="1" fillId="0" borderId="106" xfId="9" applyFont="1" applyFill="1" applyBorder="1" applyAlignment="1">
      <alignment horizontal="center"/>
    </xf>
    <xf numFmtId="0" fontId="27" fillId="0" borderId="133" xfId="0" applyFont="1" applyBorder="1" applyAlignment="1">
      <alignment horizontal="center"/>
    </xf>
    <xf numFmtId="0" fontId="2" fillId="13" borderId="133" xfId="0" applyFont="1" applyFill="1" applyBorder="1" applyAlignment="1">
      <alignment horizontal="center"/>
    </xf>
    <xf numFmtId="0" fontId="27" fillId="0" borderId="133" xfId="0" applyFont="1" applyBorder="1"/>
    <xf numFmtId="0" fontId="0" fillId="0" borderId="133" xfId="0" applyFont="1" applyFill="1" applyBorder="1"/>
    <xf numFmtId="0" fontId="0" fillId="13" borderId="133" xfId="0" applyFont="1" applyFill="1" applyBorder="1" applyAlignment="1">
      <alignment horizontal="center"/>
    </xf>
    <xf numFmtId="0" fontId="0" fillId="0" borderId="133" xfId="0" applyFont="1" applyFill="1" applyBorder="1" applyAlignment="1">
      <alignment horizontal="center"/>
    </xf>
    <xf numFmtId="0" fontId="0" fillId="0" borderId="133" xfId="0" applyFont="1" applyBorder="1" applyAlignment="1">
      <alignment horizontal="center"/>
    </xf>
    <xf numFmtId="164" fontId="4" fillId="0" borderId="133" xfId="9" applyNumberFormat="1" applyFont="1" applyFill="1" applyBorder="1" applyAlignment="1">
      <alignment horizontal="center"/>
    </xf>
    <xf numFmtId="0" fontId="4" fillId="0" borderId="133" xfId="0" applyNumberFormat="1" applyFont="1" applyFill="1" applyBorder="1" applyAlignment="1">
      <alignment horizontal="center"/>
    </xf>
    <xf numFmtId="0" fontId="0" fillId="11" borderId="133" xfId="0" applyFont="1" applyFill="1" applyBorder="1"/>
    <xf numFmtId="0" fontId="4" fillId="11" borderId="133" xfId="0" applyNumberFormat="1" applyFont="1" applyFill="1" applyBorder="1" applyAlignment="1">
      <alignment horizontal="center"/>
    </xf>
    <xf numFmtId="0" fontId="0" fillId="0" borderId="133" xfId="5" applyFont="1" applyFill="1" applyBorder="1" applyAlignment="1"/>
    <xf numFmtId="0" fontId="0" fillId="10" borderId="133" xfId="0" applyFont="1" applyFill="1" applyBorder="1"/>
    <xf numFmtId="0" fontId="4" fillId="10" borderId="133" xfId="0" applyNumberFormat="1" applyFont="1" applyFill="1" applyBorder="1" applyAlignment="1">
      <alignment horizontal="center"/>
    </xf>
    <xf numFmtId="0" fontId="0" fillId="2" borderId="133" xfId="0" applyFont="1" applyFill="1" applyBorder="1"/>
    <xf numFmtId="0" fontId="4" fillId="2" borderId="133" xfId="0" applyNumberFormat="1" applyFont="1" applyFill="1" applyBorder="1" applyAlignment="1">
      <alignment horizontal="center"/>
    </xf>
    <xf numFmtId="0" fontId="4" fillId="0" borderId="133" xfId="0" applyFont="1" applyBorder="1" applyAlignment="1">
      <alignment horizontal="center"/>
    </xf>
    <xf numFmtId="164" fontId="1" fillId="0" borderId="135" xfId="9" applyNumberFormat="1" applyFont="1" applyFill="1" applyBorder="1" applyAlignment="1">
      <alignment horizontal="center"/>
    </xf>
    <xf numFmtId="0" fontId="4" fillId="0" borderId="133" xfId="1" applyFont="1" applyBorder="1"/>
    <xf numFmtId="0" fontId="4" fillId="10" borderId="133" xfId="0" applyFont="1" applyFill="1" applyBorder="1"/>
    <xf numFmtId="0" fontId="0" fillId="0" borderId="120" xfId="0" applyFont="1" applyFill="1" applyBorder="1"/>
    <xf numFmtId="0" fontId="1" fillId="0" borderId="131" xfId="1" applyFont="1" applyBorder="1"/>
    <xf numFmtId="0" fontId="1" fillId="0" borderId="122" xfId="1" applyFont="1" applyBorder="1"/>
    <xf numFmtId="0" fontId="4" fillId="0" borderId="0" xfId="9" applyFont="1" applyFill="1" applyBorder="1" applyAlignment="1">
      <alignment horizontal="center"/>
    </xf>
    <xf numFmtId="164" fontId="4" fillId="14" borderId="133" xfId="9" applyNumberFormat="1" applyFont="1" applyFill="1" applyBorder="1" applyAlignment="1">
      <alignment horizontal="center"/>
    </xf>
    <xf numFmtId="0" fontId="21" fillId="0" borderId="0" xfId="3" applyFont="1" applyFill="1" applyBorder="1" applyAlignment="1"/>
    <xf numFmtId="0" fontId="21" fillId="0" borderId="0" xfId="3" applyFont="1" applyFill="1" applyBorder="1" applyAlignment="1">
      <alignment horizontal="center"/>
    </xf>
    <xf numFmtId="0" fontId="49" fillId="0" borderId="0" xfId="3" applyFont="1" applyFill="1" applyBorder="1" applyAlignment="1">
      <alignment horizontal="center"/>
    </xf>
    <xf numFmtId="0" fontId="8" fillId="2" borderId="51" xfId="3" applyFont="1" applyFill="1" applyBorder="1" applyAlignment="1"/>
    <xf numFmtId="0" fontId="1" fillId="0" borderId="136" xfId="1" applyFont="1" applyFill="1" applyBorder="1" applyAlignment="1"/>
    <xf numFmtId="0" fontId="21" fillId="0" borderId="70" xfId="1" applyFont="1" applyFill="1" applyBorder="1" applyAlignment="1">
      <alignment horizontal="right"/>
    </xf>
    <xf numFmtId="167" fontId="1" fillId="0" borderId="0" xfId="19" applyNumberFormat="1" applyFont="1" applyFill="1" applyBorder="1" applyAlignment="1">
      <alignment horizontal="right"/>
    </xf>
    <xf numFmtId="167" fontId="1" fillId="25" borderId="0" xfId="19" applyNumberFormat="1" applyFont="1" applyFill="1" applyBorder="1" applyAlignment="1">
      <alignment horizontal="right"/>
    </xf>
    <xf numFmtId="167" fontId="1" fillId="20" borderId="0" xfId="19" applyNumberFormat="1" applyFont="1" applyFill="1" applyBorder="1" applyAlignment="1">
      <alignment horizontal="right"/>
    </xf>
    <xf numFmtId="167" fontId="41" fillId="0" borderId="0" xfId="19" applyNumberFormat="1" applyFont="1" applyFill="1" applyBorder="1" applyAlignment="1">
      <alignment horizontal="right"/>
    </xf>
    <xf numFmtId="0" fontId="0" fillId="28" borderId="3" xfId="19" applyNumberFormat="1" applyFont="1" applyFill="1" applyBorder="1" applyAlignment="1">
      <alignment horizontal="center"/>
    </xf>
    <xf numFmtId="164" fontId="1" fillId="25" borderId="0" xfId="14" applyNumberFormat="1" applyFont="1" applyFill="1" applyAlignment="1">
      <alignment horizontal="center"/>
    </xf>
    <xf numFmtId="164" fontId="1" fillId="25" borderId="0" xfId="33" applyNumberFormat="1" applyFont="1" applyFill="1" applyAlignment="1">
      <alignment horizontal="center"/>
    </xf>
    <xf numFmtId="0" fontId="0" fillId="10" borderId="3" xfId="5" applyFont="1" applyFill="1" applyBorder="1" applyAlignment="1"/>
    <xf numFmtId="0" fontId="4" fillId="2" borderId="3" xfId="15" applyFont="1" applyFill="1" applyBorder="1" applyAlignment="1">
      <alignment horizontal="center"/>
    </xf>
    <xf numFmtId="0" fontId="4" fillId="2" borderId="3" xfId="10" applyFont="1" applyFill="1" applyBorder="1" applyAlignment="1"/>
    <xf numFmtId="0" fontId="0" fillId="0" borderId="138" xfId="0" applyNumberFormat="1" applyFill="1" applyBorder="1" applyAlignment="1">
      <alignment vertical="center"/>
    </xf>
    <xf numFmtId="0" fontId="4" fillId="0" borderId="137" xfId="0" applyFont="1" applyBorder="1" applyAlignment="1"/>
    <xf numFmtId="0" fontId="4" fillId="0" borderId="138" xfId="0" applyFont="1" applyBorder="1" applyAlignment="1"/>
    <xf numFmtId="0" fontId="4" fillId="0" borderId="139" xfId="0" applyFont="1" applyBorder="1" applyAlignment="1"/>
    <xf numFmtId="0" fontId="4" fillId="0" borderId="133" xfId="0" applyFont="1" applyBorder="1" applyAlignment="1"/>
    <xf numFmtId="0" fontId="1" fillId="0" borderId="139" xfId="1" applyFont="1" applyBorder="1"/>
    <xf numFmtId="0" fontId="1" fillId="0" borderId="97" xfId="1" applyFont="1" applyBorder="1" applyAlignment="1"/>
    <xf numFmtId="0" fontId="0" fillId="0" borderId="133" xfId="0" applyBorder="1"/>
    <xf numFmtId="0" fontId="0" fillId="0" borderId="137" xfId="0" applyNumberFormat="1" applyFont="1" applyFill="1" applyBorder="1" applyAlignment="1">
      <alignment horizontal="center" vertical="center"/>
    </xf>
    <xf numFmtId="49" fontId="0" fillId="0" borderId="138" xfId="0" applyNumberFormat="1" applyFont="1" applyFill="1" applyBorder="1" applyAlignment="1">
      <alignment horizontal="center" vertical="center"/>
    </xf>
    <xf numFmtId="0" fontId="0" fillId="0" borderId="138" xfId="0" applyNumberFormat="1" applyFont="1" applyFill="1" applyBorder="1" applyAlignment="1">
      <alignment horizontal="center" vertical="center"/>
    </xf>
    <xf numFmtId="0" fontId="0" fillId="0" borderId="139" xfId="0" applyNumberFormat="1" applyFont="1" applyFill="1" applyBorder="1" applyAlignment="1">
      <alignment horizontal="center" vertical="center"/>
    </xf>
    <xf numFmtId="167" fontId="1" fillId="0" borderId="0" xfId="1" applyNumberFormat="1" applyFont="1" applyFill="1"/>
    <xf numFmtId="0" fontId="0" fillId="0" borderId="133" xfId="0" applyBorder="1" applyAlignment="1">
      <alignment vertical="center"/>
    </xf>
    <xf numFmtId="0" fontId="0" fillId="0" borderId="133" xfId="0" applyFont="1" applyBorder="1" applyAlignment="1"/>
    <xf numFmtId="0" fontId="4" fillId="0" borderId="133" xfId="0" applyNumberFormat="1" applyFont="1" applyFill="1" applyBorder="1" applyAlignment="1">
      <alignment horizontal="center" vertical="center"/>
    </xf>
    <xf numFmtId="0" fontId="4" fillId="0" borderId="137" xfId="0" applyNumberFormat="1" applyFont="1" applyFill="1" applyBorder="1" applyAlignment="1">
      <alignment horizontal="center" vertical="center"/>
    </xf>
    <xf numFmtId="0" fontId="0" fillId="0" borderId="97" xfId="1" applyFont="1" applyBorder="1" applyAlignment="1"/>
    <xf numFmtId="0" fontId="4" fillId="0" borderId="97" xfId="1" applyFont="1" applyFill="1" applyBorder="1" applyAlignment="1">
      <alignment horizontal="center"/>
    </xf>
    <xf numFmtId="0" fontId="1" fillId="0" borderId="133" xfId="19" applyFont="1" applyFill="1" applyBorder="1" applyAlignment="1"/>
    <xf numFmtId="0" fontId="4" fillId="2" borderId="133" xfId="0" applyNumberFormat="1" applyFont="1" applyFill="1" applyBorder="1" applyAlignment="1">
      <alignment horizontal="center" vertical="center"/>
    </xf>
    <xf numFmtId="0" fontId="0" fillId="8" borderId="0" xfId="0" applyFill="1"/>
    <xf numFmtId="0" fontId="1" fillId="8" borderId="0" xfId="1" applyFont="1" applyFill="1"/>
    <xf numFmtId="0" fontId="0" fillId="8" borderId="0" xfId="0" applyFont="1" applyFill="1" applyAlignment="1">
      <alignment horizontal="right"/>
    </xf>
    <xf numFmtId="0" fontId="1" fillId="7" borderId="0" xfId="1" applyFont="1" applyFill="1"/>
    <xf numFmtId="0" fontId="0" fillId="7" borderId="0" xfId="0" applyFont="1" applyFill="1" applyAlignment="1">
      <alignment horizontal="right"/>
    </xf>
    <xf numFmtId="0" fontId="1" fillId="10" borderId="0" xfId="1" applyFont="1" applyFill="1"/>
    <xf numFmtId="0" fontId="0" fillId="10" borderId="0" xfId="0" applyFont="1" applyFill="1" applyAlignment="1">
      <alignment horizontal="right"/>
    </xf>
    <xf numFmtId="0" fontId="4" fillId="0" borderId="3" xfId="0" applyFont="1" applyBorder="1"/>
    <xf numFmtId="0" fontId="4" fillId="0" borderId="97" xfId="0" applyFont="1" applyFill="1" applyBorder="1"/>
    <xf numFmtId="0" fontId="77" fillId="0" borderId="0" xfId="1" applyFont="1" applyFill="1" applyBorder="1"/>
    <xf numFmtId="0" fontId="54" fillId="0" borderId="0" xfId="5" applyFont="1" applyFill="1" applyAlignment="1">
      <alignment horizontal="center"/>
    </xf>
    <xf numFmtId="0" fontId="23" fillId="0" borderId="0" xfId="5" applyFont="1" applyFill="1" applyAlignment="1"/>
    <xf numFmtId="0" fontId="8" fillId="0" borderId="0" xfId="5" applyFont="1" applyFill="1" applyAlignment="1"/>
    <xf numFmtId="0" fontId="0" fillId="0" borderId="0" xfId="5" applyFont="1" applyFill="1" applyAlignment="1">
      <alignment horizontal="center"/>
    </xf>
    <xf numFmtId="0" fontId="1" fillId="4" borderId="0" xfId="1" applyFont="1" applyFill="1" applyAlignment="1">
      <alignment horizontal="center"/>
    </xf>
    <xf numFmtId="0" fontId="0" fillId="0" borderId="133" xfId="0" applyFill="1" applyBorder="1"/>
    <xf numFmtId="0" fontId="0" fillId="0" borderId="133" xfId="0" applyFill="1" applyBorder="1" applyAlignment="1">
      <alignment vertical="center"/>
    </xf>
    <xf numFmtId="0" fontId="0" fillId="0" borderId="133" xfId="0" applyFont="1" applyFill="1" applyBorder="1" applyAlignment="1"/>
    <xf numFmtId="0" fontId="4" fillId="0" borderId="133" xfId="0" applyFont="1" applyFill="1" applyBorder="1" applyAlignment="1"/>
    <xf numFmtId="0" fontId="4" fillId="0" borderId="138" xfId="1" applyFont="1" applyBorder="1" applyAlignment="1">
      <alignment horizontal="center"/>
    </xf>
    <xf numFmtId="0" fontId="4" fillId="14" borderId="133" xfId="0" applyFont="1" applyFill="1" applyBorder="1" applyAlignment="1"/>
    <xf numFmtId="0" fontId="1" fillId="0" borderId="0" xfId="1" applyFont="1" applyFill="1"/>
    <xf numFmtId="0" fontId="1" fillId="0" borderId="0" xfId="19" applyFont="1"/>
    <xf numFmtId="0" fontId="1" fillId="0" borderId="0" xfId="1" applyFont="1" applyFill="1"/>
    <xf numFmtId="0" fontId="1" fillId="0" borderId="0" xfId="1" applyFont="1"/>
    <xf numFmtId="0" fontId="1" fillId="0" borderId="0" xfId="1" applyFont="1" applyFill="1"/>
    <xf numFmtId="0" fontId="1" fillId="0" borderId="7" xfId="10" applyFont="1" applyFill="1" applyBorder="1" applyAlignment="1">
      <alignment horizontal="right"/>
    </xf>
    <xf numFmtId="0" fontId="0" fillId="7" borderId="0" xfId="0" applyFill="1"/>
    <xf numFmtId="0" fontId="1" fillId="0" borderId="0" xfId="1" applyFont="1" applyAlignment="1">
      <alignment horizontal="right"/>
    </xf>
    <xf numFmtId="0" fontId="7" fillId="0" borderId="0" xfId="3"/>
    <xf numFmtId="0" fontId="0" fillId="0" borderId="0" xfId="1" applyFont="1" applyAlignment="1">
      <alignment horizontal="right"/>
    </xf>
    <xf numFmtId="0" fontId="0" fillId="14" borderId="7" xfId="10" applyFont="1" applyFill="1" applyBorder="1" applyAlignment="1">
      <alignment horizontal="right"/>
    </xf>
    <xf numFmtId="0" fontId="4" fillId="5" borderId="7" xfId="10" applyFont="1" applyFill="1" applyBorder="1" applyAlignment="1">
      <alignment horizontal="right"/>
    </xf>
    <xf numFmtId="0" fontId="1" fillId="37" borderId="97" xfId="1" applyNumberFormat="1" applyFont="1" applyFill="1" applyBorder="1" applyAlignment="1">
      <alignment vertical="center"/>
    </xf>
    <xf numFmtId="0" fontId="36" fillId="7" borderId="137" xfId="3" applyFont="1" applyFill="1" applyBorder="1" applyAlignment="1"/>
    <xf numFmtId="0" fontId="8" fillId="7" borderId="141" xfId="3" applyFont="1" applyFill="1" applyBorder="1" applyAlignment="1"/>
    <xf numFmtId="0" fontId="1" fillId="7" borderId="139" xfId="1" applyNumberFormat="1" applyFont="1" applyFill="1" applyBorder="1" applyAlignment="1"/>
    <xf numFmtId="0" fontId="1" fillId="37" borderId="140" xfId="1" applyNumberFormat="1" applyFont="1" applyFill="1" applyBorder="1" applyAlignment="1">
      <alignment vertical="center"/>
    </xf>
    <xf numFmtId="0" fontId="0" fillId="37" borderId="97" xfId="1" applyNumberFormat="1" applyFont="1" applyFill="1" applyBorder="1" applyAlignment="1">
      <alignment vertical="center"/>
    </xf>
    <xf numFmtId="0" fontId="0" fillId="0" borderId="133" xfId="1" applyNumberFormat="1" applyFont="1" applyBorder="1" applyAlignment="1"/>
    <xf numFmtId="0" fontId="4" fillId="0" borderId="0" xfId="0" applyFont="1" applyAlignment="1">
      <alignment wrapText="1"/>
    </xf>
    <xf numFmtId="0" fontId="21" fillId="0" borderId="72" xfId="1" applyFont="1" applyFill="1" applyBorder="1" applyAlignment="1"/>
    <xf numFmtId="0" fontId="4" fillId="0" borderId="73" xfId="1" applyFont="1" applyBorder="1" applyAlignment="1">
      <alignment vertical="top"/>
    </xf>
    <xf numFmtId="0" fontId="4" fillId="2" borderId="3" xfId="10" applyNumberFormat="1" applyFont="1" applyFill="1" applyBorder="1" applyAlignment="1">
      <alignment horizontal="center"/>
    </xf>
    <xf numFmtId="0" fontId="33" fillId="6" borderId="51" xfId="3" quotePrefix="1" applyFont="1" applyFill="1" applyBorder="1" applyAlignment="1"/>
    <xf numFmtId="0" fontId="1" fillId="0" borderId="142" xfId="16" applyFont="1" applyFill="1" applyBorder="1" applyAlignment="1">
      <alignment horizontal="center"/>
    </xf>
    <xf numFmtId="0" fontId="0" fillId="0" borderId="142" xfId="16" applyFont="1" applyFill="1" applyBorder="1" applyAlignment="1">
      <alignment horizontal="center"/>
    </xf>
    <xf numFmtId="0" fontId="0" fillId="0" borderId="143" xfId="10" applyFont="1" applyFill="1" applyBorder="1" applyAlignment="1">
      <alignment wrapText="1"/>
    </xf>
    <xf numFmtId="0" fontId="1" fillId="8" borderId="137" xfId="17" applyFont="1" applyFill="1" applyBorder="1" applyAlignment="1">
      <alignment horizontal="center"/>
    </xf>
    <xf numFmtId="0" fontId="1" fillId="0" borderId="134" xfId="10" applyFont="1" applyFill="1" applyBorder="1" applyAlignment="1">
      <alignment wrapText="1"/>
    </xf>
    <xf numFmtId="0" fontId="0" fillId="0" borderId="134" xfId="17" applyFont="1" applyFill="1" applyBorder="1" applyAlignment="1"/>
    <xf numFmtId="0" fontId="1" fillId="0" borderId="134" xfId="17" applyFont="1" applyFill="1" applyBorder="1" applyAlignment="1">
      <alignment horizontal="center"/>
    </xf>
    <xf numFmtId="0" fontId="4" fillId="2" borderId="3" xfId="1" applyFont="1" applyFill="1" applyBorder="1" applyAlignment="1">
      <alignment horizontal="center"/>
    </xf>
    <xf numFmtId="0" fontId="4" fillId="2" borderId="3" xfId="1" applyFont="1" applyFill="1" applyBorder="1" applyAlignment="1">
      <alignment horizontal="right"/>
    </xf>
    <xf numFmtId="0" fontId="1" fillId="2" borderId="3" xfId="1" applyFont="1" applyFill="1" applyBorder="1"/>
    <xf numFmtId="0" fontId="8" fillId="16" borderId="38" xfId="3" applyFont="1" applyFill="1" applyBorder="1" applyAlignment="1">
      <alignment vertical="top"/>
    </xf>
    <xf numFmtId="0" fontId="8" fillId="15" borderId="0" xfId="3" applyFont="1" applyFill="1" applyBorder="1" applyAlignment="1">
      <alignment vertical="top"/>
    </xf>
    <xf numFmtId="0" fontId="1" fillId="15" borderId="0" xfId="1" applyFont="1" applyFill="1" applyBorder="1" applyAlignment="1">
      <alignment vertical="top"/>
    </xf>
    <xf numFmtId="0" fontId="8" fillId="15" borderId="43" xfId="3" applyFont="1" applyFill="1" applyBorder="1" applyAlignment="1">
      <alignment vertical="top"/>
    </xf>
    <xf numFmtId="0" fontId="0" fillId="16" borderId="1" xfId="1" applyFont="1" applyFill="1" applyBorder="1" applyAlignment="1"/>
    <xf numFmtId="0" fontId="23" fillId="0" borderId="133" xfId="5" applyFont="1" applyFill="1" applyBorder="1" applyAlignment="1"/>
    <xf numFmtId="0" fontId="4" fillId="2" borderId="120" xfId="5" applyFont="1" applyFill="1" applyBorder="1" applyAlignment="1">
      <alignment horizontal="center"/>
    </xf>
    <xf numFmtId="0" fontId="28" fillId="0" borderId="133" xfId="17" applyFont="1" applyFill="1" applyBorder="1" applyAlignment="1">
      <alignment horizontal="center"/>
    </xf>
    <xf numFmtId="0" fontId="28" fillId="0" borderId="133" xfId="17" applyNumberFormat="1" applyFont="1" applyFill="1" applyBorder="1" applyAlignment="1">
      <alignment horizontal="center"/>
    </xf>
    <xf numFmtId="0" fontId="21" fillId="0" borderId="45" xfId="3" applyFont="1" applyFill="1" applyBorder="1" applyAlignment="1">
      <alignment horizontal="center"/>
    </xf>
    <xf numFmtId="0" fontId="75" fillId="18" borderId="59" xfId="3" applyFont="1" applyFill="1" applyBorder="1" applyAlignment="1"/>
    <xf numFmtId="0" fontId="56" fillId="0" borderId="1" xfId="3" applyFont="1" applyFill="1" applyBorder="1" applyAlignment="1"/>
    <xf numFmtId="0" fontId="1" fillId="0" borderId="27" xfId="5" applyFont="1" applyFill="1" applyBorder="1" applyAlignment="1">
      <alignment textRotation="90"/>
    </xf>
    <xf numFmtId="0" fontId="1" fillId="0" borderId="0" xfId="5" applyFont="1" applyFill="1" applyAlignment="1">
      <alignment horizontal="center" textRotation="90"/>
    </xf>
    <xf numFmtId="0" fontId="1" fillId="0" borderId="0" xfId="5" applyFont="1" applyFill="1" applyAlignment="1">
      <alignment textRotation="90"/>
    </xf>
    <xf numFmtId="0" fontId="4" fillId="0" borderId="120" xfId="0" applyFont="1" applyBorder="1" applyAlignment="1">
      <alignment horizontal="center"/>
    </xf>
    <xf numFmtId="0" fontId="4" fillId="0" borderId="122" xfId="0" applyFont="1" applyBorder="1" applyAlignment="1">
      <alignment horizontal="center"/>
    </xf>
    <xf numFmtId="0" fontId="1" fillId="0" borderId="0" xfId="10" applyFont="1" applyFill="1" applyBorder="1" applyAlignment="1">
      <alignment textRotation="90"/>
    </xf>
    <xf numFmtId="0" fontId="1" fillId="0" borderId="0" xfId="10" applyFont="1" applyFill="1" applyAlignment="1">
      <alignment textRotation="90"/>
    </xf>
  </cellXfs>
  <cellStyles count="34">
    <cellStyle name="Hyperlink" xfId="3" builtinId="8"/>
    <cellStyle name="Hyperlink 2" xfId="4"/>
    <cellStyle name="Hyperlink 2 2" xfId="6"/>
    <cellStyle name="Hyperlink 3" xfId="7"/>
    <cellStyle name="Hyperlink 3 2" xfId="8"/>
    <cellStyle name="Normal" xfId="0" builtinId="0"/>
    <cellStyle name="Normal 2" xfId="1"/>
    <cellStyle name="Normal 2 2" xfId="2"/>
    <cellStyle name="Normal 2 2 2" xfId="9"/>
    <cellStyle name="Normal 2 2 2 2" xfId="10"/>
    <cellStyle name="Normal 2 2 3" xfId="11"/>
    <cellStyle name="Normal 2 2 4" xfId="12"/>
    <cellStyle name="Normal 2 3" xfId="5"/>
    <cellStyle name="Normal 2 3 2" xfId="28"/>
    <cellStyle name="Normal 2 4" xfId="13"/>
    <cellStyle name="Normal 2 4 2" xfId="33"/>
    <cellStyle name="Normal 2 5" xfId="14"/>
    <cellStyle name="Normal 3" xfId="15"/>
    <cellStyle name="Normal 3 2" xfId="16"/>
    <cellStyle name="Normal 3 3" xfId="17"/>
    <cellStyle name="Normal 3 4" xfId="29"/>
    <cellStyle name="Normal 4" xfId="18"/>
    <cellStyle name="Normal 4 2" xfId="30"/>
    <cellStyle name="Normal 4 3" xfId="31"/>
    <cellStyle name="Normal 5" xfId="19"/>
    <cellStyle name="Normal 6" xfId="20"/>
    <cellStyle name="Normal 6 2" xfId="21"/>
    <cellStyle name="Normal 6 2 2" xfId="27"/>
    <cellStyle name="Normal 6 3" xfId="22"/>
    <cellStyle name="Normal 6 4" xfId="32"/>
    <cellStyle name="Normal 7" xfId="23"/>
    <cellStyle name="Normal 8" xfId="24"/>
    <cellStyle name="Normal 9" xfId="25"/>
    <cellStyle name="WinCalendar_BlankCells_35" xfId="26"/>
  </cellStyles>
  <dxfs count="3481">
    <dxf>
      <font>
        <color rgb="FF9C0006"/>
      </font>
      <fill>
        <patternFill>
          <bgColor rgb="FFFFC7CE"/>
        </patternFill>
      </fill>
    </dxf>
    <dxf>
      <font>
        <color rgb="FFCC0000"/>
      </font>
    </dxf>
    <dxf>
      <fill>
        <patternFill>
          <bgColor rgb="FFCCFFCC"/>
        </patternFill>
      </fill>
    </dxf>
    <dxf>
      <font>
        <b/>
        <i val="0"/>
      </font>
    </dxf>
    <dxf>
      <font>
        <color rgb="FF0070C0"/>
      </font>
    </dxf>
    <dxf>
      <font>
        <color rgb="FF0070C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ill>
        <patternFill>
          <bgColor rgb="FF99FF99"/>
        </patternFill>
      </fill>
    </dxf>
    <dxf>
      <fill>
        <patternFill>
          <bgColor rgb="FFCCFFCC"/>
        </patternFill>
      </fill>
    </dxf>
    <dxf>
      <font>
        <color rgb="FFCC0000"/>
      </font>
    </dxf>
    <dxf>
      <fill>
        <patternFill>
          <bgColor rgb="FFCCFFCC"/>
        </patternFill>
      </fill>
    </dxf>
    <dxf>
      <fill>
        <patternFill>
          <bgColor rgb="FF99FF99"/>
        </patternFill>
      </fill>
    </dxf>
    <dxf>
      <fill>
        <patternFill>
          <bgColor theme="4" tint="0.59996337778862885"/>
        </patternFill>
      </fill>
    </dxf>
    <dxf>
      <font>
        <b/>
        <i val="0"/>
      </font>
      <fill>
        <patternFill>
          <bgColor rgb="FFCCFFCC"/>
        </patternFill>
      </fill>
    </dxf>
    <dxf>
      <fill>
        <patternFill>
          <bgColor rgb="FFFFFF99"/>
        </patternFill>
      </fill>
    </dxf>
    <dxf>
      <fill>
        <patternFill patternType="none">
          <bgColor auto="1"/>
        </patternFill>
      </fill>
    </dxf>
    <dxf>
      <fill>
        <patternFill>
          <bgColor rgb="FFFFCCCC"/>
        </patternFill>
      </fill>
    </dxf>
    <dxf>
      <fill>
        <patternFill>
          <bgColor theme="4" tint="0.59996337778862885"/>
        </patternFill>
      </fill>
    </dxf>
    <dxf>
      <font>
        <b/>
        <i val="0"/>
      </font>
      <fill>
        <patternFill>
          <bgColor rgb="FFCCFFCC"/>
        </patternFill>
      </fill>
    </dxf>
    <dxf>
      <fill>
        <patternFill>
          <bgColor rgb="FFFFFF99"/>
        </patternFill>
      </fill>
    </dxf>
    <dxf>
      <fill>
        <patternFill patternType="none">
          <bgColor auto="1"/>
        </patternFill>
      </fill>
    </dxf>
    <dxf>
      <fill>
        <patternFill>
          <bgColor rgb="FFFFCCCC"/>
        </patternFill>
      </fill>
    </dxf>
    <dxf>
      <font>
        <color rgb="FF0070C0"/>
      </font>
    </dxf>
    <dxf>
      <fill>
        <patternFill>
          <bgColor rgb="FF99FF99"/>
        </patternFill>
      </fill>
    </dxf>
    <dxf>
      <font>
        <color rgb="FFCC0000"/>
      </font>
    </dxf>
    <dxf>
      <font>
        <b/>
        <i val="0"/>
      </font>
    </dxf>
    <dxf>
      <fill>
        <patternFill>
          <bgColor rgb="FFFFFF99"/>
        </patternFill>
      </fill>
    </dxf>
    <dxf>
      <fill>
        <patternFill>
          <bgColor theme="0" tint="-0.14996795556505021"/>
        </patternFill>
      </fill>
    </dxf>
    <dxf>
      <fill>
        <patternFill>
          <bgColor rgb="FFFFCC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color rgb="FFFF0000"/>
      </font>
    </dxf>
    <dxf>
      <font>
        <color rgb="FF00B050"/>
      </font>
    </dxf>
    <dxf>
      <font>
        <b/>
        <i val="0"/>
        <color rgb="FFFF0000"/>
      </font>
    </dxf>
    <dxf>
      <font>
        <color rgb="FF0070C0"/>
      </font>
      <fill>
        <patternFill patternType="none">
          <bgColor auto="1"/>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color rgb="FFFF0000"/>
      </font>
    </dxf>
    <dxf>
      <font>
        <color rgb="FF00B050"/>
      </font>
    </dxf>
    <dxf>
      <font>
        <b/>
        <i val="0"/>
        <color rgb="FFFF0000"/>
      </font>
    </dxf>
    <dxf>
      <font>
        <color rgb="FF0070C0"/>
      </font>
      <fill>
        <patternFill patternType="none">
          <bgColor auto="1"/>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color rgb="FFFF0000"/>
      </font>
    </dxf>
    <dxf>
      <font>
        <color rgb="FF00B050"/>
      </font>
    </dxf>
    <dxf>
      <font>
        <b/>
        <i val="0"/>
        <color rgb="FFFF0000"/>
      </font>
    </dxf>
    <dxf>
      <font>
        <color rgb="FF0070C0"/>
      </font>
      <fill>
        <patternFill patternType="none">
          <bgColor auto="1"/>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ont>
        <color rgb="FF0070C0"/>
      </font>
      <fill>
        <patternFill patternType="none">
          <bgColor auto="1"/>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ont>
        <b/>
        <i val="0"/>
      </font>
    </dxf>
    <dxf>
      <font>
        <b/>
        <i val="0"/>
      </font>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ont>
        <color rgb="FF0070C0"/>
      </font>
      <fill>
        <patternFill patternType="none">
          <bgColor auto="1"/>
        </patternFill>
      </fill>
    </dxf>
    <dxf>
      <font>
        <color rgb="FF0070C0"/>
      </font>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ont>
        <b/>
        <i val="0"/>
      </font>
    </dxf>
    <dxf>
      <font>
        <b/>
        <i val="0"/>
      </font>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ont>
        <color rgb="FF0070C0"/>
      </font>
      <fill>
        <patternFill patternType="none">
          <bgColor auto="1"/>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ont>
        <color rgb="FF0070C0"/>
      </font>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color rgb="FF9C0006"/>
      </font>
      <fill>
        <patternFill>
          <bgColor rgb="FFFFC7CE"/>
        </patternFill>
      </fill>
    </dxf>
    <dxf>
      <fill>
        <patternFill patternType="none">
          <bgColor auto="1"/>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rgb="FFFFFF99"/>
        </patternFill>
      </fill>
    </dxf>
    <dxf>
      <fill>
        <patternFill>
          <bgColor theme="0" tint="-0.14996795556505021"/>
        </patternFill>
      </fill>
    </dxf>
    <dxf>
      <fill>
        <patternFill>
          <bgColor rgb="FFFFCC99"/>
        </patternFill>
      </fill>
    </dxf>
    <dxf>
      <fill>
        <patternFill>
          <bgColor rgb="FFFFFF99"/>
        </patternFill>
      </fill>
    </dxf>
    <dxf>
      <fill>
        <patternFill>
          <bgColor theme="0" tint="-0.14996795556505021"/>
        </patternFill>
      </fill>
    </dxf>
    <dxf>
      <fill>
        <patternFill>
          <bgColor rgb="FFFFCC99"/>
        </patternFill>
      </fill>
    </dxf>
    <dxf>
      <fill>
        <patternFill>
          <bgColor rgb="FFFFFF99"/>
        </patternFill>
      </fill>
    </dxf>
    <dxf>
      <fill>
        <patternFill>
          <bgColor theme="0" tint="-0.14996795556505021"/>
        </patternFill>
      </fill>
    </dxf>
    <dxf>
      <fill>
        <patternFill>
          <bgColor rgb="FFFFCC99"/>
        </patternFill>
      </fill>
    </dxf>
    <dxf>
      <fill>
        <patternFill>
          <bgColor rgb="FFCCFFCC"/>
        </patternFill>
      </fill>
    </dxf>
    <dxf>
      <font>
        <color rgb="FFCC0000"/>
      </font>
    </dxf>
    <dxf>
      <font>
        <b/>
        <i val="0"/>
      </font>
    </dxf>
    <dxf>
      <fill>
        <patternFill>
          <bgColor rgb="FFCCFFCC"/>
        </patternFill>
      </fill>
    </dxf>
    <dxf>
      <font>
        <color rgb="FFCC0000"/>
      </font>
    </dxf>
    <dxf>
      <font>
        <b/>
        <i val="0"/>
      </font>
    </dxf>
    <dxf>
      <font>
        <color rgb="FFCC0000"/>
      </font>
    </dxf>
    <dxf>
      <fill>
        <patternFill>
          <bgColor rgb="FFCCFFCC"/>
        </patternFill>
      </fill>
    </dxf>
    <dxf>
      <font>
        <b/>
        <i val="0"/>
      </font>
    </dxf>
    <dxf>
      <fill>
        <patternFill>
          <bgColor rgb="FFCCFFCC"/>
        </patternFill>
      </fill>
    </dxf>
    <dxf>
      <font>
        <color rgb="FFCC0000"/>
      </font>
    </dxf>
    <dxf>
      <font>
        <b/>
        <i val="0"/>
      </font>
    </dxf>
    <dxf>
      <fill>
        <patternFill>
          <bgColor theme="4" tint="0.59996337778862885"/>
        </patternFill>
      </fill>
    </dxf>
    <dxf>
      <font>
        <b/>
        <i val="0"/>
      </font>
      <fill>
        <patternFill>
          <bgColor rgb="FFCCFFCC"/>
        </patternFill>
      </fill>
    </dxf>
    <dxf>
      <fill>
        <patternFill>
          <bgColor rgb="FFFFFF99"/>
        </patternFill>
      </fill>
    </dxf>
    <dxf>
      <fill>
        <patternFill patternType="none">
          <bgColor auto="1"/>
        </patternFill>
      </fill>
    </dxf>
    <dxf>
      <fill>
        <patternFill>
          <bgColor theme="4" tint="0.59996337778862885"/>
        </patternFill>
      </fill>
    </dxf>
    <dxf>
      <font>
        <b/>
        <i val="0"/>
      </font>
      <fill>
        <patternFill>
          <bgColor rgb="FFCCFFCC"/>
        </patternFill>
      </fill>
    </dxf>
    <dxf>
      <fill>
        <patternFill>
          <bgColor rgb="FFFFFF99"/>
        </patternFill>
      </fill>
    </dxf>
    <dxf>
      <fill>
        <patternFill patternType="none">
          <bgColor auto="1"/>
        </patternFill>
      </fill>
    </dxf>
    <dxf>
      <fill>
        <patternFill>
          <bgColor rgb="FFFFFF99"/>
        </patternFill>
      </fill>
    </dxf>
    <dxf>
      <fill>
        <patternFill>
          <bgColor theme="0" tint="-0.14996795556505021"/>
        </patternFill>
      </fill>
    </dxf>
    <dxf>
      <fill>
        <patternFill>
          <bgColor rgb="FFFFCC99"/>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ont>
        <color rgb="FF0070C0"/>
      </font>
      <fill>
        <patternFill patternType="none">
          <bgColor auto="1"/>
        </patternFill>
      </fill>
    </dxf>
    <dxf>
      <font>
        <color rgb="FF0070C0"/>
      </font>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ont>
        <b/>
        <i val="0"/>
      </font>
    </dxf>
    <dxf>
      <font>
        <b/>
        <i val="0"/>
      </font>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ont>
        <color rgb="FF0070C0"/>
      </font>
      <fill>
        <patternFill patternType="none">
          <bgColor auto="1"/>
        </patternFill>
      </fill>
    </dxf>
    <dxf>
      <fill>
        <patternFill>
          <bgColor rgb="FFFF0000"/>
        </patternFill>
      </fill>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color rgb="FFFF0000"/>
      </font>
    </dxf>
    <dxf>
      <font>
        <color rgb="FF00B050"/>
      </font>
    </dxf>
    <dxf>
      <font>
        <b/>
        <i val="0"/>
        <color rgb="FFFF0000"/>
      </font>
    </dxf>
    <dxf>
      <font>
        <color rgb="FF0070C0"/>
      </font>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theme="9" tint="0.39994506668294322"/>
      </font>
    </dxf>
    <dxf>
      <font>
        <color theme="9" tint="0.39994506668294322"/>
      </font>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ont>
        <b/>
        <i val="0"/>
      </font>
    </dxf>
    <dxf>
      <fill>
        <patternFill>
          <bgColor rgb="FFCCFFCC"/>
        </patternFill>
      </fill>
    </dxf>
    <dxf>
      <font>
        <color rgb="FFCC0000"/>
      </font>
    </dxf>
    <dxf>
      <font>
        <color rgb="FF0070C0"/>
      </font>
    </dxf>
    <dxf>
      <font>
        <color theme="9" tint="0.39994506668294322"/>
      </font>
    </dxf>
    <dxf>
      <font>
        <b/>
        <i val="0"/>
      </font>
    </dxf>
    <dxf>
      <font>
        <b/>
        <i val="0"/>
      </font>
    </dxf>
    <dxf>
      <font>
        <color rgb="FF0070C0"/>
      </font>
    </dxf>
    <dxf>
      <font>
        <b/>
        <i val="0"/>
      </font>
    </dxf>
    <dxf>
      <font>
        <b/>
        <i val="0"/>
      </font>
    </dxf>
    <dxf>
      <font>
        <color rgb="FFFF9999"/>
      </font>
    </dxf>
    <dxf>
      <font>
        <b/>
        <i val="0"/>
      </font>
    </dxf>
    <dxf>
      <font>
        <color theme="5" tint="0.39994506668294322"/>
      </font>
    </dxf>
    <dxf>
      <font>
        <b/>
        <i val="0"/>
      </font>
    </dxf>
    <dxf>
      <font>
        <color rgb="FF9C0006"/>
      </font>
      <fill>
        <patternFill>
          <bgColor rgb="FFFFC7CE"/>
        </patternFill>
      </fill>
    </dxf>
    <dxf>
      <font>
        <color theme="9"/>
      </font>
    </dxf>
    <dxf>
      <font>
        <color rgb="FF9C0006"/>
      </font>
      <fill>
        <patternFill>
          <bgColor rgb="FFFFC7CE"/>
        </patternFill>
      </fill>
    </dxf>
    <dxf>
      <font>
        <color rgb="FF9C0006"/>
      </font>
      <fill>
        <patternFill>
          <bgColor rgb="FFFFC7CE"/>
        </patternFill>
      </fill>
    </dxf>
    <dxf>
      <font>
        <color rgb="FF0070C0"/>
      </font>
      <fill>
        <patternFill patternType="none">
          <bgColor auto="1"/>
        </patternFill>
      </fill>
    </dxf>
    <dxf>
      <font>
        <color rgb="FF9C0006"/>
      </font>
      <fill>
        <patternFill>
          <bgColor rgb="FFFFC7CE"/>
        </patternFill>
      </fill>
    </dxf>
    <dxf>
      <fill>
        <patternFill patternType="none">
          <bgColor auto="1"/>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theme="0"/>
      </font>
    </dxf>
    <dxf>
      <font>
        <color theme="0"/>
      </font>
    </dxf>
    <dxf>
      <font>
        <color theme="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theme="0" tint="-0.14996795556505021"/>
      </font>
    </dxf>
    <dxf>
      <font>
        <b/>
        <i val="0"/>
      </font>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b/>
        <i val="0"/>
      </font>
    </dxf>
    <dxf>
      <font>
        <color rgb="FF9C0006"/>
      </font>
      <fill>
        <patternFill>
          <bgColor rgb="FFFFC7CE"/>
        </patternFill>
      </fill>
    </dxf>
    <dxf>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color rgb="FF00B05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patternType="none">
          <bgColor auto="1"/>
        </patternFill>
      </fill>
    </dxf>
    <dxf>
      <font>
        <color rgb="FF9C0006"/>
      </font>
      <fill>
        <patternFill>
          <bgColor rgb="FFFFC7CE"/>
        </patternFill>
      </fill>
    </dxf>
    <dxf>
      <font>
        <color theme="1"/>
      </font>
      <fill>
        <patternFill patternType="none">
          <bgColor auto="1"/>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color theme="0"/>
      </font>
    </dxf>
    <dxf>
      <font>
        <color theme="0"/>
      </font>
    </dxf>
    <dxf>
      <font>
        <color theme="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color rgb="FF0070C0"/>
      </font>
      <fill>
        <patternFill patternType="none">
          <bgColor auto="1"/>
        </patternFill>
      </fill>
    </dxf>
    <dxf>
      <font>
        <color rgb="FF9C0006"/>
      </font>
      <fill>
        <patternFill>
          <bgColor rgb="FFFFC7CE"/>
        </patternFill>
      </fill>
    </dxf>
    <dxf>
      <fill>
        <patternFill patternType="none">
          <bgColor auto="1"/>
        </patternFill>
      </fill>
    </dxf>
    <dxf>
      <font>
        <b/>
        <i val="0"/>
      </font>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0070C0"/>
      </font>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9" tint="0.59996337778862885"/>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theme="1"/>
      </font>
      <fill>
        <patternFill patternType="none">
          <bgColor auto="1"/>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color rgb="FF00B050"/>
      </font>
    </dxf>
    <dxf>
      <font>
        <color rgb="FF9C0006"/>
      </font>
      <fill>
        <patternFill>
          <bgColor rgb="FFFFC7CE"/>
        </patternFill>
      </fill>
    </dxf>
    <dxf>
      <font>
        <b/>
        <i val="0"/>
      </font>
    </dxf>
    <dxf>
      <fill>
        <patternFill>
          <bgColor rgb="FFFFCCCC"/>
        </patternFill>
      </fill>
    </dxf>
    <dxf>
      <font>
        <b/>
        <i val="0"/>
      </font>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color theme="0"/>
      </font>
    </dxf>
    <dxf>
      <font>
        <color theme="0"/>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b/>
        <i val="0"/>
      </font>
    </dxf>
    <dxf>
      <font>
        <b/>
        <i val="0"/>
      </font>
    </dxf>
    <dxf>
      <font>
        <b/>
        <i val="0"/>
      </font>
    </dxf>
    <dxf>
      <font>
        <b/>
        <i val="0"/>
      </font>
    </dxf>
    <dxf>
      <font>
        <b/>
        <i val="0"/>
        <color rgb="FFFF0000"/>
      </font>
    </dxf>
    <dxf>
      <font>
        <b/>
        <i val="0"/>
        <color rgb="FFFF0000"/>
      </font>
    </dxf>
    <dxf>
      <font>
        <b/>
        <i val="0"/>
        <color rgb="FFFF0000"/>
      </font>
    </dxf>
    <dxf>
      <font>
        <b/>
        <i val="0"/>
        <color rgb="FFFF0000"/>
      </font>
    </dxf>
    <dxf>
      <font>
        <b/>
        <i val="0"/>
        <color rgb="FFFF0000"/>
      </font>
    </dxf>
    <dxf>
      <font>
        <color rgb="FF00B050"/>
      </font>
    </dxf>
    <dxf>
      <font>
        <b/>
        <i val="0"/>
      </font>
    </dxf>
    <dxf>
      <font>
        <b/>
        <i val="0"/>
      </font>
    </dxf>
    <dxf>
      <font>
        <b/>
        <i val="0"/>
      </font>
    </dxf>
    <dxf>
      <font>
        <b/>
        <i val="0"/>
      </font>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ill>
        <patternFill patternType="none">
          <bgColor auto="1"/>
        </patternFill>
      </fill>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CCCC"/>
        </patternFill>
      </fill>
    </dxf>
    <dxf>
      <font>
        <b/>
        <i val="0"/>
      </font>
    </dxf>
    <dxf>
      <font>
        <color rgb="FF9C0006"/>
      </font>
      <fill>
        <patternFill>
          <bgColor rgb="FFFFC7CE"/>
        </patternFill>
      </fill>
    </dxf>
    <dxf>
      <font>
        <color theme="1"/>
      </font>
      <fill>
        <patternFill patternType="none">
          <bgColor auto="1"/>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color rgb="FF9C0006"/>
      </font>
      <fill>
        <patternFill>
          <bgColor rgb="FFFFC7CE"/>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theme="0"/>
      </font>
    </dxf>
    <dxf>
      <font>
        <color theme="0"/>
      </font>
    </dxf>
    <dxf>
      <font>
        <color theme="0"/>
      </font>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CCCC"/>
        </patternFill>
      </fill>
    </dxf>
    <dxf>
      <font>
        <b/>
        <i val="0"/>
      </font>
    </dxf>
    <dxf>
      <font>
        <color rgb="FF9C0006"/>
      </font>
      <fill>
        <patternFill>
          <bgColor rgb="FFFFC7CE"/>
        </patternFill>
      </fill>
    </dxf>
    <dxf>
      <font>
        <color theme="1"/>
      </font>
      <fill>
        <patternFill patternType="none">
          <bgColor auto="1"/>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color rgb="FF00B05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color rgb="FF9C0006"/>
      </font>
      <fill>
        <patternFill>
          <bgColor rgb="FFFFC7CE"/>
        </patternFill>
      </fill>
    </dxf>
    <dxf>
      <fill>
        <patternFill patternType="none">
          <bgColor auto="1"/>
        </patternFill>
      </fill>
    </dxf>
    <dxf>
      <fill>
        <patternFill>
          <bgColor theme="0" tint="-4.9989318521683403E-2"/>
        </patternFill>
      </fill>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color rgb="FF9C0006"/>
      </font>
      <fill>
        <patternFill>
          <bgColor rgb="FFFFC7CE"/>
        </patternFill>
      </fill>
    </dxf>
    <dxf>
      <font>
        <color theme="1"/>
      </font>
      <fill>
        <patternFill patternType="none">
          <bgColor auto="1"/>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ont>
        <b/>
        <i val="0"/>
      </font>
    </dxf>
    <dxf>
      <font>
        <b/>
        <i val="0"/>
      </font>
    </dxf>
    <dxf>
      <font>
        <b/>
        <i val="0"/>
      </font>
    </dxf>
    <dxf>
      <font>
        <b/>
        <i val="0"/>
      </font>
    </dxf>
    <dxf>
      <font>
        <strike/>
        <color rgb="FF00B0F0"/>
      </font>
    </dxf>
    <dxf>
      <font>
        <strike/>
        <color rgb="FF00B0F0"/>
      </font>
    </dxf>
    <dxf>
      <font>
        <strike/>
        <color rgb="FF00B0F0"/>
      </font>
    </dxf>
    <dxf>
      <font>
        <strike/>
        <color rgb="FF00B0F0"/>
      </font>
    </dxf>
    <dxf>
      <font>
        <b/>
        <i val="0"/>
      </font>
      <fill>
        <patternFill>
          <bgColor rgb="FFFFFF99"/>
        </patternFill>
      </fill>
    </dxf>
    <dxf>
      <fill>
        <patternFill>
          <bgColor theme="0" tint="-0.14996795556505021"/>
        </patternFill>
      </fill>
    </dxf>
    <dxf>
      <fill>
        <patternFill>
          <bgColor rgb="FFFFCC99"/>
        </patternFill>
      </fill>
    </dxf>
    <dxf>
      <font>
        <color theme="0"/>
      </font>
    </dxf>
    <dxf>
      <font>
        <b/>
        <i val="0"/>
      </font>
    </dxf>
    <dxf>
      <font>
        <b/>
        <i val="0"/>
        <color rgb="FFFF0000"/>
      </font>
    </dxf>
  </dxfs>
  <tableStyles count="0" defaultTableStyle="TableStyleMedium2" defaultPivotStyle="PivotStyleLight16"/>
  <colors>
    <mruColors>
      <color rgb="FFFFCC99"/>
      <color rgb="FFFFFF99"/>
      <color rgb="FFFFFFCC"/>
      <color rgb="FFFFCCCC"/>
      <color rgb="FFCCFFCC"/>
      <color rgb="FFCC0000"/>
      <color rgb="FFCCECFF"/>
      <color rgb="FF99FF99"/>
      <color rgb="FF0000FF"/>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8.png"/><Relationship Id="rId3" Type="http://schemas.openxmlformats.org/officeDocument/2006/relationships/image" Target="../media/image4.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jpe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19.png"/><Relationship Id="rId4" Type="http://schemas.openxmlformats.org/officeDocument/2006/relationships/image" Target="../media/image5.gif"/><Relationship Id="rId9" Type="http://schemas.openxmlformats.org/officeDocument/2006/relationships/image" Target="../media/image10.gif"/><Relationship Id="rId14" Type="http://schemas.openxmlformats.org/officeDocument/2006/relationships/image" Target="../media/image15.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0</xdr:col>
      <xdr:colOff>326925</xdr:colOff>
      <xdr:row>1</xdr:row>
      <xdr:rowOff>160348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241200" cy="303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23</xdr:row>
      <xdr:rowOff>19050</xdr:rowOff>
    </xdr:from>
    <xdr:ext cx="184663" cy="301292"/>
    <xdr:pic>
      <xdr:nvPicPr>
        <xdr:cNvPr id="15" name="Pictur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1075" y="3009900"/>
          <a:ext cx="184663" cy="301292"/>
        </a:xfrm>
        <a:prstGeom prst="rect">
          <a:avLst/>
        </a:prstGeom>
      </xdr:spPr>
    </xdr:pic>
    <xdr:clientData/>
  </xdr:oneCellAnchor>
  <xdr:twoCellAnchor editAs="oneCell">
    <xdr:from>
      <xdr:col>10</xdr:col>
      <xdr:colOff>9525</xdr:colOff>
      <xdr:row>109</xdr:row>
      <xdr:rowOff>0</xdr:rowOff>
    </xdr:from>
    <xdr:to>
      <xdr:col>10</xdr:col>
      <xdr:colOff>361950</xdr:colOff>
      <xdr:row>110</xdr:row>
      <xdr:rowOff>8430</xdr:rowOff>
    </xdr:to>
    <xdr:pic>
      <xdr:nvPicPr>
        <xdr:cNvPr id="22" name="Picture 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2072" y="14088666"/>
          <a:ext cx="353616" cy="167973"/>
        </a:xfrm>
        <a:prstGeom prst="rect">
          <a:avLst/>
        </a:prstGeom>
      </xdr:spPr>
    </xdr:pic>
    <xdr:clientData/>
  </xdr:twoCellAnchor>
  <xdr:oneCellAnchor>
    <xdr:from>
      <xdr:col>6</xdr:col>
      <xdr:colOff>11644</xdr:colOff>
      <xdr:row>92</xdr:row>
      <xdr:rowOff>38100</xdr:rowOff>
    </xdr:from>
    <xdr:ext cx="988482" cy="444817"/>
    <xdr:pic>
      <xdr:nvPicPr>
        <xdr:cNvPr id="24" name="Picture 2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07144" y="14592300"/>
          <a:ext cx="988482" cy="444817"/>
        </a:xfrm>
        <a:prstGeom prst="rect">
          <a:avLst/>
        </a:prstGeom>
      </xdr:spPr>
    </xdr:pic>
    <xdr:clientData/>
  </xdr:oneCellAnchor>
  <xdr:twoCellAnchor editAs="oneCell">
    <xdr:from>
      <xdr:col>13</xdr:col>
      <xdr:colOff>2541</xdr:colOff>
      <xdr:row>23</xdr:row>
      <xdr:rowOff>21264</xdr:rowOff>
    </xdr:from>
    <xdr:to>
      <xdr:col>13</xdr:col>
      <xdr:colOff>185095</xdr:colOff>
      <xdr:row>24</xdr:row>
      <xdr:rowOff>81589</xdr:rowOff>
    </xdr:to>
    <xdr:pic>
      <xdr:nvPicPr>
        <xdr:cNvPr id="25" name="Picture 2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41441" y="3840789"/>
          <a:ext cx="182554" cy="231775"/>
        </a:xfrm>
        <a:prstGeom prst="rect">
          <a:avLst/>
        </a:prstGeom>
      </xdr:spPr>
    </xdr:pic>
    <xdr:clientData/>
  </xdr:twoCellAnchor>
  <xdr:twoCellAnchor editAs="oneCell">
    <xdr:from>
      <xdr:col>10</xdr:col>
      <xdr:colOff>1308953</xdr:colOff>
      <xdr:row>47</xdr:row>
      <xdr:rowOff>20053</xdr:rowOff>
    </xdr:from>
    <xdr:to>
      <xdr:col>11</xdr:col>
      <xdr:colOff>176054</xdr:colOff>
      <xdr:row>48</xdr:row>
      <xdr:rowOff>89903</xdr:rowOff>
    </xdr:to>
    <xdr:pic>
      <xdr:nvPicPr>
        <xdr:cNvPr id="26" name="Picture 2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8453" y="7856829"/>
          <a:ext cx="180894" cy="234074"/>
        </a:xfrm>
        <a:prstGeom prst="rect">
          <a:avLst/>
        </a:prstGeom>
      </xdr:spPr>
    </xdr:pic>
    <xdr:clientData/>
  </xdr:twoCellAnchor>
  <xdr:twoCellAnchor editAs="oneCell">
    <xdr:from>
      <xdr:col>11</xdr:col>
      <xdr:colOff>1361</xdr:colOff>
      <xdr:row>67</xdr:row>
      <xdr:rowOff>16328</xdr:rowOff>
    </xdr:from>
    <xdr:to>
      <xdr:col>11</xdr:col>
      <xdr:colOff>180072</xdr:colOff>
      <xdr:row>68</xdr:row>
      <xdr:rowOff>145961</xdr:rowOff>
    </xdr:to>
    <xdr:pic>
      <xdr:nvPicPr>
        <xdr:cNvPr id="33" name="Picture 3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11486" y="10760528"/>
          <a:ext cx="178711" cy="291558"/>
        </a:xfrm>
        <a:prstGeom prst="rect">
          <a:avLst/>
        </a:prstGeom>
      </xdr:spPr>
    </xdr:pic>
    <xdr:clientData/>
  </xdr:twoCellAnchor>
  <xdr:oneCellAnchor>
    <xdr:from>
      <xdr:col>6</xdr:col>
      <xdr:colOff>28575</xdr:colOff>
      <xdr:row>103</xdr:row>
      <xdr:rowOff>0</xdr:rowOff>
    </xdr:from>
    <xdr:ext cx="352425" cy="161925"/>
    <xdr:pic>
      <xdr:nvPicPr>
        <xdr:cNvPr id="34" name="Picture 3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05025" y="13439775"/>
          <a:ext cx="352425" cy="161925"/>
        </a:xfrm>
        <a:prstGeom prst="rect">
          <a:avLst/>
        </a:prstGeom>
      </xdr:spPr>
    </xdr:pic>
    <xdr:clientData/>
  </xdr:oneCellAnchor>
  <xdr:oneCellAnchor>
    <xdr:from>
      <xdr:col>6</xdr:col>
      <xdr:colOff>28575</xdr:colOff>
      <xdr:row>114</xdr:row>
      <xdr:rowOff>0</xdr:rowOff>
    </xdr:from>
    <xdr:ext cx="352425" cy="161925"/>
    <xdr:pic>
      <xdr:nvPicPr>
        <xdr:cNvPr id="35" name="Picture 3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05025" y="12944475"/>
          <a:ext cx="352425" cy="161925"/>
        </a:xfrm>
        <a:prstGeom prst="rect">
          <a:avLst/>
        </a:prstGeom>
      </xdr:spPr>
    </xdr:pic>
    <xdr:clientData/>
  </xdr:oneCellAnchor>
  <xdr:twoCellAnchor editAs="oneCell">
    <xdr:from>
      <xdr:col>6</xdr:col>
      <xdr:colOff>28575</xdr:colOff>
      <xdr:row>62</xdr:row>
      <xdr:rowOff>0</xdr:rowOff>
    </xdr:from>
    <xdr:to>
      <xdr:col>6</xdr:col>
      <xdr:colOff>381000</xdr:colOff>
      <xdr:row>62</xdr:row>
      <xdr:rowOff>169164</xdr:rowOff>
    </xdr:to>
    <xdr:pic>
      <xdr:nvPicPr>
        <xdr:cNvPr id="38" name="Picture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5025" y="10210800"/>
          <a:ext cx="352425" cy="169164"/>
        </a:xfrm>
        <a:prstGeom prst="rect">
          <a:avLst/>
        </a:prstGeom>
      </xdr:spPr>
    </xdr:pic>
    <xdr:clientData/>
  </xdr:twoCellAnchor>
  <xdr:twoCellAnchor editAs="oneCell">
    <xdr:from>
      <xdr:col>10</xdr:col>
      <xdr:colOff>657225</xdr:colOff>
      <xdr:row>18</xdr:row>
      <xdr:rowOff>148464</xdr:rowOff>
    </xdr:from>
    <xdr:to>
      <xdr:col>10</xdr:col>
      <xdr:colOff>1270861</xdr:colOff>
      <xdr:row>20</xdr:row>
      <xdr:rowOff>4614</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19575" y="2977389"/>
          <a:ext cx="613636" cy="180000"/>
        </a:xfrm>
        <a:prstGeom prst="rect">
          <a:avLst/>
        </a:prstGeom>
      </xdr:spPr>
    </xdr:pic>
    <xdr:clientData/>
  </xdr:twoCellAnchor>
  <xdr:twoCellAnchor editAs="oneCell">
    <xdr:from>
      <xdr:col>10</xdr:col>
      <xdr:colOff>1038223</xdr:colOff>
      <xdr:row>70</xdr:row>
      <xdr:rowOff>28576</xdr:rowOff>
    </xdr:from>
    <xdr:to>
      <xdr:col>10</xdr:col>
      <xdr:colOff>1214623</xdr:colOff>
      <xdr:row>71</xdr:row>
      <xdr:rowOff>145781</xdr:rowOff>
    </xdr:to>
    <xdr:pic>
      <xdr:nvPicPr>
        <xdr:cNvPr id="18" name="Picture 1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00573" y="11268076"/>
          <a:ext cx="176400" cy="288655"/>
        </a:xfrm>
        <a:prstGeom prst="rect">
          <a:avLst/>
        </a:prstGeom>
      </xdr:spPr>
    </xdr:pic>
    <xdr:clientData/>
  </xdr:twoCellAnchor>
  <xdr:twoCellAnchor editAs="oneCell">
    <xdr:from>
      <xdr:col>10</xdr:col>
      <xdr:colOff>866775</xdr:colOff>
      <xdr:row>3</xdr:row>
      <xdr:rowOff>104374</xdr:rowOff>
    </xdr:from>
    <xdr:to>
      <xdr:col>10</xdr:col>
      <xdr:colOff>1232753</xdr:colOff>
      <xdr:row>5</xdr:row>
      <xdr:rowOff>154206</xdr:rowOff>
    </xdr:to>
    <xdr:pic>
      <xdr:nvPicPr>
        <xdr:cNvPr id="2" name="Picture 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410075" y="609199"/>
          <a:ext cx="365978" cy="373682"/>
        </a:xfrm>
        <a:prstGeom prst="rect">
          <a:avLst/>
        </a:prstGeom>
      </xdr:spPr>
    </xdr:pic>
    <xdr:clientData/>
  </xdr:twoCellAnchor>
  <xdr:oneCellAnchor>
    <xdr:from>
      <xdr:col>10</xdr:col>
      <xdr:colOff>1028700</xdr:colOff>
      <xdr:row>26</xdr:row>
      <xdr:rowOff>38100</xdr:rowOff>
    </xdr:from>
    <xdr:ext cx="255968" cy="171451"/>
    <xdr:pic>
      <xdr:nvPicPr>
        <xdr:cNvPr id="17" name="Picture 1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05350" y="4362450"/>
          <a:ext cx="255968" cy="171451"/>
        </a:xfrm>
        <a:prstGeom prst="rect">
          <a:avLst/>
        </a:prstGeom>
      </xdr:spPr>
    </xdr:pic>
    <xdr:clientData/>
  </xdr:oneCellAnchor>
  <xdr:twoCellAnchor editAs="oneCell">
    <xdr:from>
      <xdr:col>10</xdr:col>
      <xdr:colOff>1238251</xdr:colOff>
      <xdr:row>30</xdr:row>
      <xdr:rowOff>19050</xdr:rowOff>
    </xdr:from>
    <xdr:to>
      <xdr:col>11</xdr:col>
      <xdr:colOff>114301</xdr:colOff>
      <xdr:row>31</xdr:row>
      <xdr:rowOff>102870</xdr:rowOff>
    </xdr:to>
    <xdr:pic>
      <xdr:nvPicPr>
        <xdr:cNvPr id="4" name="Picture 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800601" y="5000625"/>
          <a:ext cx="190500" cy="245745"/>
        </a:xfrm>
        <a:prstGeom prst="rect">
          <a:avLst/>
        </a:prstGeom>
      </xdr:spPr>
    </xdr:pic>
    <xdr:clientData/>
  </xdr:twoCellAnchor>
  <xdr:oneCellAnchor>
    <xdr:from>
      <xdr:col>10</xdr:col>
      <xdr:colOff>1028700</xdr:colOff>
      <xdr:row>40</xdr:row>
      <xdr:rowOff>38100</xdr:rowOff>
    </xdr:from>
    <xdr:ext cx="255968" cy="171451"/>
    <xdr:pic>
      <xdr:nvPicPr>
        <xdr:cNvPr id="19" name="Picture 1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05350" y="6496050"/>
          <a:ext cx="255968" cy="171451"/>
        </a:xfrm>
        <a:prstGeom prst="rect">
          <a:avLst/>
        </a:prstGeom>
      </xdr:spPr>
    </xdr:pic>
    <xdr:clientData/>
  </xdr:oneCellAnchor>
  <xdr:oneCellAnchor>
    <xdr:from>
      <xdr:col>12</xdr:col>
      <xdr:colOff>1000125</xdr:colOff>
      <xdr:row>50</xdr:row>
      <xdr:rowOff>38100</xdr:rowOff>
    </xdr:from>
    <xdr:ext cx="255968" cy="171451"/>
    <xdr:pic>
      <xdr:nvPicPr>
        <xdr:cNvPr id="20" name="Picture 1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191250" y="8153400"/>
          <a:ext cx="255968" cy="171451"/>
        </a:xfrm>
        <a:prstGeom prst="rect">
          <a:avLst/>
        </a:prstGeom>
      </xdr:spPr>
    </xdr:pic>
    <xdr:clientData/>
  </xdr:oneCellAnchor>
  <xdr:oneCellAnchor>
    <xdr:from>
      <xdr:col>10</xdr:col>
      <xdr:colOff>1028700</xdr:colOff>
      <xdr:row>53</xdr:row>
      <xdr:rowOff>38100</xdr:rowOff>
    </xdr:from>
    <xdr:ext cx="255968" cy="171451"/>
    <xdr:pic>
      <xdr:nvPicPr>
        <xdr:cNvPr id="21" name="Picture 2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05350" y="8648700"/>
          <a:ext cx="255968" cy="171451"/>
        </a:xfrm>
        <a:prstGeom prst="rect">
          <a:avLst/>
        </a:prstGeom>
      </xdr:spPr>
    </xdr:pic>
    <xdr:clientData/>
  </xdr:oneCellAnchor>
  <xdr:oneCellAnchor>
    <xdr:from>
      <xdr:col>10</xdr:col>
      <xdr:colOff>1028700</xdr:colOff>
      <xdr:row>64</xdr:row>
      <xdr:rowOff>38100</xdr:rowOff>
    </xdr:from>
    <xdr:ext cx="255968" cy="171451"/>
    <xdr:pic>
      <xdr:nvPicPr>
        <xdr:cNvPr id="23" name="Picture 2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05350" y="10458450"/>
          <a:ext cx="255968" cy="171451"/>
        </a:xfrm>
        <a:prstGeom prst="rect">
          <a:avLst/>
        </a:prstGeom>
      </xdr:spPr>
    </xdr:pic>
    <xdr:clientData/>
  </xdr:oneCellAnchor>
  <xdr:twoCellAnchor editAs="oneCell">
    <xdr:from>
      <xdr:col>12</xdr:col>
      <xdr:colOff>1051919</xdr:colOff>
      <xdr:row>26</xdr:row>
      <xdr:rowOff>38100</xdr:rowOff>
    </xdr:from>
    <xdr:to>
      <xdr:col>12</xdr:col>
      <xdr:colOff>1257300</xdr:colOff>
      <xdr:row>27</xdr:row>
      <xdr:rowOff>130722</xdr:rowOff>
    </xdr:to>
    <xdr:pic>
      <xdr:nvPicPr>
        <xdr:cNvPr id="6" name="Picture 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43044" y="4362450"/>
          <a:ext cx="205381" cy="254547"/>
        </a:xfrm>
        <a:prstGeom prst="rect">
          <a:avLst/>
        </a:prstGeom>
      </xdr:spPr>
    </xdr:pic>
    <xdr:clientData/>
  </xdr:twoCellAnchor>
  <xdr:twoCellAnchor editAs="oneCell">
    <xdr:from>
      <xdr:col>12</xdr:col>
      <xdr:colOff>1050074</xdr:colOff>
      <xdr:row>42</xdr:row>
      <xdr:rowOff>38100</xdr:rowOff>
    </xdr:from>
    <xdr:to>
      <xdr:col>12</xdr:col>
      <xdr:colOff>1255455</xdr:colOff>
      <xdr:row>43</xdr:row>
      <xdr:rowOff>130722</xdr:rowOff>
    </xdr:to>
    <xdr:pic>
      <xdr:nvPicPr>
        <xdr:cNvPr id="27" name="Picture 2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41199" y="6829425"/>
          <a:ext cx="205381" cy="254547"/>
        </a:xfrm>
        <a:prstGeom prst="rect">
          <a:avLst/>
        </a:prstGeom>
      </xdr:spPr>
    </xdr:pic>
    <xdr:clientData/>
  </xdr:twoCellAnchor>
  <xdr:twoCellAnchor editAs="oneCell">
    <xdr:from>
      <xdr:col>12</xdr:col>
      <xdr:colOff>1040549</xdr:colOff>
      <xdr:row>53</xdr:row>
      <xdr:rowOff>133350</xdr:rowOff>
    </xdr:from>
    <xdr:to>
      <xdr:col>12</xdr:col>
      <xdr:colOff>1245930</xdr:colOff>
      <xdr:row>55</xdr:row>
      <xdr:rowOff>64047</xdr:rowOff>
    </xdr:to>
    <xdr:pic>
      <xdr:nvPicPr>
        <xdr:cNvPr id="29" name="Picture 28"/>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31674" y="8743950"/>
          <a:ext cx="205381" cy="254547"/>
        </a:xfrm>
        <a:prstGeom prst="rect">
          <a:avLst/>
        </a:prstGeom>
      </xdr:spPr>
    </xdr:pic>
    <xdr:clientData/>
  </xdr:twoCellAnchor>
  <xdr:twoCellAnchor editAs="oneCell">
    <xdr:from>
      <xdr:col>12</xdr:col>
      <xdr:colOff>1050074</xdr:colOff>
      <xdr:row>73</xdr:row>
      <xdr:rowOff>38100</xdr:rowOff>
    </xdr:from>
    <xdr:to>
      <xdr:col>12</xdr:col>
      <xdr:colOff>1255455</xdr:colOff>
      <xdr:row>74</xdr:row>
      <xdr:rowOff>130722</xdr:rowOff>
    </xdr:to>
    <xdr:pic>
      <xdr:nvPicPr>
        <xdr:cNvPr id="30" name="Picture 2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41199" y="11944350"/>
          <a:ext cx="205381" cy="254547"/>
        </a:xfrm>
        <a:prstGeom prst="rect">
          <a:avLst/>
        </a:prstGeom>
      </xdr:spPr>
    </xdr:pic>
    <xdr:clientData/>
  </xdr:twoCellAnchor>
  <xdr:twoCellAnchor editAs="oneCell">
    <xdr:from>
      <xdr:col>12</xdr:col>
      <xdr:colOff>1050074</xdr:colOff>
      <xdr:row>64</xdr:row>
      <xdr:rowOff>38100</xdr:rowOff>
    </xdr:from>
    <xdr:to>
      <xdr:col>12</xdr:col>
      <xdr:colOff>1255455</xdr:colOff>
      <xdr:row>65</xdr:row>
      <xdr:rowOff>130722</xdr:rowOff>
    </xdr:to>
    <xdr:pic>
      <xdr:nvPicPr>
        <xdr:cNvPr id="32" name="Picture 3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41199" y="10458450"/>
          <a:ext cx="205381" cy="254547"/>
        </a:xfrm>
        <a:prstGeom prst="rect">
          <a:avLst/>
        </a:prstGeom>
      </xdr:spPr>
    </xdr:pic>
    <xdr:clientData/>
  </xdr:twoCellAnchor>
  <xdr:twoCellAnchor editAs="oneCell">
    <xdr:from>
      <xdr:col>7</xdr:col>
      <xdr:colOff>0</xdr:colOff>
      <xdr:row>16</xdr:row>
      <xdr:rowOff>19049</xdr:rowOff>
    </xdr:from>
    <xdr:to>
      <xdr:col>7</xdr:col>
      <xdr:colOff>176486</xdr:colOff>
      <xdr:row>17</xdr:row>
      <xdr:rowOff>76471</xdr:rowOff>
    </xdr:to>
    <xdr:pic>
      <xdr:nvPicPr>
        <xdr:cNvPr id="8" name="Picture 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48000" y="2514599"/>
          <a:ext cx="176486" cy="219347"/>
        </a:xfrm>
        <a:prstGeom prst="rect">
          <a:avLst/>
        </a:prstGeom>
      </xdr:spPr>
    </xdr:pic>
    <xdr:clientData/>
  </xdr:twoCellAnchor>
  <xdr:twoCellAnchor editAs="oneCell">
    <xdr:from>
      <xdr:col>7</xdr:col>
      <xdr:colOff>0</xdr:colOff>
      <xdr:row>7</xdr:row>
      <xdr:rowOff>19050</xdr:rowOff>
    </xdr:from>
    <xdr:to>
      <xdr:col>7</xdr:col>
      <xdr:colOff>176486</xdr:colOff>
      <xdr:row>8</xdr:row>
      <xdr:rowOff>76472</xdr:rowOff>
    </xdr:to>
    <xdr:pic>
      <xdr:nvPicPr>
        <xdr:cNvPr id="36" name="Picture 3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48000" y="1190625"/>
          <a:ext cx="176486" cy="219347"/>
        </a:xfrm>
        <a:prstGeom prst="rect">
          <a:avLst/>
        </a:prstGeom>
      </xdr:spPr>
    </xdr:pic>
    <xdr:clientData/>
  </xdr:twoCellAnchor>
  <xdr:twoCellAnchor editAs="oneCell">
    <xdr:from>
      <xdr:col>7</xdr:col>
      <xdr:colOff>0</xdr:colOff>
      <xdr:row>22</xdr:row>
      <xdr:rowOff>19050</xdr:rowOff>
    </xdr:from>
    <xdr:to>
      <xdr:col>7</xdr:col>
      <xdr:colOff>176486</xdr:colOff>
      <xdr:row>23</xdr:row>
      <xdr:rowOff>76472</xdr:rowOff>
    </xdr:to>
    <xdr:pic>
      <xdr:nvPicPr>
        <xdr:cNvPr id="39" name="Picture 3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48000" y="3505200"/>
          <a:ext cx="176486" cy="219347"/>
        </a:xfrm>
        <a:prstGeom prst="rect">
          <a:avLst/>
        </a:prstGeom>
      </xdr:spPr>
    </xdr:pic>
    <xdr:clientData/>
  </xdr:twoCellAnchor>
  <xdr:twoCellAnchor editAs="oneCell">
    <xdr:from>
      <xdr:col>7</xdr:col>
      <xdr:colOff>1</xdr:colOff>
      <xdr:row>51</xdr:row>
      <xdr:rowOff>19050</xdr:rowOff>
    </xdr:from>
    <xdr:to>
      <xdr:col>7</xdr:col>
      <xdr:colOff>176401</xdr:colOff>
      <xdr:row>52</xdr:row>
      <xdr:rowOff>94005</xdr:rowOff>
    </xdr:to>
    <xdr:pic>
      <xdr:nvPicPr>
        <xdr:cNvPr id="9" name="Picture 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048001" y="8458200"/>
          <a:ext cx="176400" cy="236880"/>
        </a:xfrm>
        <a:prstGeom prst="rect">
          <a:avLst/>
        </a:prstGeom>
      </xdr:spPr>
    </xdr:pic>
    <xdr:clientData/>
  </xdr:twoCellAnchor>
  <xdr:twoCellAnchor editAs="oneCell">
    <xdr:from>
      <xdr:col>7</xdr:col>
      <xdr:colOff>0</xdr:colOff>
      <xdr:row>54</xdr:row>
      <xdr:rowOff>19050</xdr:rowOff>
    </xdr:from>
    <xdr:to>
      <xdr:col>7</xdr:col>
      <xdr:colOff>176400</xdr:colOff>
      <xdr:row>55</xdr:row>
      <xdr:rowOff>94005</xdr:rowOff>
    </xdr:to>
    <xdr:pic>
      <xdr:nvPicPr>
        <xdr:cNvPr id="40" name="Picture 3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048000" y="8953500"/>
          <a:ext cx="176400" cy="236880"/>
        </a:xfrm>
        <a:prstGeom prst="rect">
          <a:avLst/>
        </a:prstGeom>
      </xdr:spPr>
    </xdr:pic>
    <xdr:clientData/>
  </xdr:twoCellAnchor>
  <xdr:twoCellAnchor editAs="oneCell">
    <xdr:from>
      <xdr:col>13</xdr:col>
      <xdr:colOff>1</xdr:colOff>
      <xdr:row>30</xdr:row>
      <xdr:rowOff>19050</xdr:rowOff>
    </xdr:from>
    <xdr:to>
      <xdr:col>13</xdr:col>
      <xdr:colOff>176401</xdr:colOff>
      <xdr:row>31</xdr:row>
      <xdr:rowOff>53685</xdr:rowOff>
    </xdr:to>
    <xdr:pic>
      <xdr:nvPicPr>
        <xdr:cNvPr id="10" name="Picture 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67451" y="5000625"/>
          <a:ext cx="176400" cy="196560"/>
        </a:xfrm>
        <a:prstGeom prst="rect">
          <a:avLst/>
        </a:prstGeom>
      </xdr:spPr>
    </xdr:pic>
    <xdr:clientData/>
  </xdr:twoCellAnchor>
  <xdr:twoCellAnchor editAs="oneCell">
    <xdr:from>
      <xdr:col>13</xdr:col>
      <xdr:colOff>0</xdr:colOff>
      <xdr:row>89</xdr:row>
      <xdr:rowOff>19050</xdr:rowOff>
    </xdr:from>
    <xdr:to>
      <xdr:col>13</xdr:col>
      <xdr:colOff>176486</xdr:colOff>
      <xdr:row>90</xdr:row>
      <xdr:rowOff>76472</xdr:rowOff>
    </xdr:to>
    <xdr:pic>
      <xdr:nvPicPr>
        <xdr:cNvPr id="43" name="Picture 4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267450" y="14411325"/>
          <a:ext cx="176486" cy="219347"/>
        </a:xfrm>
        <a:prstGeom prst="rect">
          <a:avLst/>
        </a:prstGeom>
      </xdr:spPr>
    </xdr:pic>
    <xdr:clientData/>
  </xdr:twoCellAnchor>
  <xdr:twoCellAnchor editAs="oneCell">
    <xdr:from>
      <xdr:col>12</xdr:col>
      <xdr:colOff>1047750</xdr:colOff>
      <xdr:row>70</xdr:row>
      <xdr:rowOff>28575</xdr:rowOff>
    </xdr:from>
    <xdr:to>
      <xdr:col>12</xdr:col>
      <xdr:colOff>1224150</xdr:colOff>
      <xdr:row>71</xdr:row>
      <xdr:rowOff>145780</xdr:rowOff>
    </xdr:to>
    <xdr:pic>
      <xdr:nvPicPr>
        <xdr:cNvPr id="45" name="Picture 4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57900" y="11268075"/>
          <a:ext cx="176400" cy="288655"/>
        </a:xfrm>
        <a:prstGeom prst="rect">
          <a:avLst/>
        </a:prstGeom>
      </xdr:spPr>
    </xdr:pic>
    <xdr:clientData/>
  </xdr:twoCellAnchor>
  <xdr:twoCellAnchor editAs="oneCell">
    <xdr:from>
      <xdr:col>12</xdr:col>
      <xdr:colOff>666750</xdr:colOff>
      <xdr:row>18</xdr:row>
      <xdr:rowOff>152400</xdr:rowOff>
    </xdr:from>
    <xdr:to>
      <xdr:col>12</xdr:col>
      <xdr:colOff>1280386</xdr:colOff>
      <xdr:row>20</xdr:row>
      <xdr:rowOff>8550</xdr:rowOff>
    </xdr:to>
    <xdr:pic>
      <xdr:nvPicPr>
        <xdr:cNvPr id="46" name="Picture 4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76900" y="2981325"/>
          <a:ext cx="613636" cy="180000"/>
        </a:xfrm>
        <a:prstGeom prst="rect">
          <a:avLst/>
        </a:prstGeom>
      </xdr:spPr>
    </xdr:pic>
    <xdr:clientData/>
  </xdr:twoCellAnchor>
  <xdr:twoCellAnchor editAs="oneCell">
    <xdr:from>
      <xdr:col>7</xdr:col>
      <xdr:colOff>0</xdr:colOff>
      <xdr:row>30</xdr:row>
      <xdr:rowOff>19050</xdr:rowOff>
    </xdr:from>
    <xdr:to>
      <xdr:col>7</xdr:col>
      <xdr:colOff>176400</xdr:colOff>
      <xdr:row>31</xdr:row>
      <xdr:rowOff>78885</xdr:rowOff>
    </xdr:to>
    <xdr:pic>
      <xdr:nvPicPr>
        <xdr:cNvPr id="13" name="Picture 12"/>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048000" y="5000625"/>
          <a:ext cx="176400" cy="221760"/>
        </a:xfrm>
        <a:prstGeom prst="rect">
          <a:avLst/>
        </a:prstGeom>
      </xdr:spPr>
    </xdr:pic>
    <xdr:clientData/>
  </xdr:twoCellAnchor>
  <xdr:twoCellAnchor editAs="oneCell">
    <xdr:from>
      <xdr:col>7</xdr:col>
      <xdr:colOff>0</xdr:colOff>
      <xdr:row>41</xdr:row>
      <xdr:rowOff>19050</xdr:rowOff>
    </xdr:from>
    <xdr:to>
      <xdr:col>7</xdr:col>
      <xdr:colOff>176400</xdr:colOff>
      <xdr:row>42</xdr:row>
      <xdr:rowOff>69360</xdr:rowOff>
    </xdr:to>
    <xdr:pic>
      <xdr:nvPicPr>
        <xdr:cNvPr id="47" name="Picture 4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048000" y="6638925"/>
          <a:ext cx="176400" cy="221760"/>
        </a:xfrm>
        <a:prstGeom prst="rect">
          <a:avLst/>
        </a:prstGeom>
      </xdr:spPr>
    </xdr:pic>
    <xdr:clientData/>
  </xdr:twoCellAnchor>
  <xdr:twoCellAnchor editAs="oneCell">
    <xdr:from>
      <xdr:col>7</xdr:col>
      <xdr:colOff>0</xdr:colOff>
      <xdr:row>65</xdr:row>
      <xdr:rowOff>19050</xdr:rowOff>
    </xdr:from>
    <xdr:to>
      <xdr:col>7</xdr:col>
      <xdr:colOff>176400</xdr:colOff>
      <xdr:row>66</xdr:row>
      <xdr:rowOff>78885</xdr:rowOff>
    </xdr:to>
    <xdr:pic>
      <xdr:nvPicPr>
        <xdr:cNvPr id="48" name="Picture 4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048000" y="10439400"/>
          <a:ext cx="176400" cy="221760"/>
        </a:xfrm>
        <a:prstGeom prst="rect">
          <a:avLst/>
        </a:prstGeom>
      </xdr:spPr>
    </xdr:pic>
    <xdr:clientData/>
  </xdr:twoCellAnchor>
  <xdr:twoCellAnchor editAs="oneCell">
    <xdr:from>
      <xdr:col>1</xdr:col>
      <xdr:colOff>0</xdr:colOff>
      <xdr:row>78</xdr:row>
      <xdr:rowOff>0</xdr:rowOff>
    </xdr:from>
    <xdr:to>
      <xdr:col>1</xdr:col>
      <xdr:colOff>176400</xdr:colOff>
      <xdr:row>79</xdr:row>
      <xdr:rowOff>59835</xdr:rowOff>
    </xdr:to>
    <xdr:pic>
      <xdr:nvPicPr>
        <xdr:cNvPr id="49" name="Picture 48"/>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8625" y="12563475"/>
          <a:ext cx="176400" cy="221760"/>
        </a:xfrm>
        <a:prstGeom prst="rect">
          <a:avLst/>
        </a:prstGeom>
      </xdr:spPr>
    </xdr:pic>
    <xdr:clientData/>
  </xdr:twoCellAnchor>
  <xdr:twoCellAnchor editAs="oneCell">
    <xdr:from>
      <xdr:col>13</xdr:col>
      <xdr:colOff>0</xdr:colOff>
      <xdr:row>59</xdr:row>
      <xdr:rowOff>19050</xdr:rowOff>
    </xdr:from>
    <xdr:to>
      <xdr:col>13</xdr:col>
      <xdr:colOff>176400</xdr:colOff>
      <xdr:row>60</xdr:row>
      <xdr:rowOff>94005</xdr:rowOff>
    </xdr:to>
    <xdr:pic>
      <xdr:nvPicPr>
        <xdr:cNvPr id="51" name="Picture 50"/>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86525" y="9448800"/>
          <a:ext cx="176400" cy="236880"/>
        </a:xfrm>
        <a:prstGeom prst="rect">
          <a:avLst/>
        </a:prstGeom>
      </xdr:spPr>
    </xdr:pic>
    <xdr:clientData/>
  </xdr:twoCellAnchor>
  <xdr:twoCellAnchor editAs="oneCell">
    <xdr:from>
      <xdr:col>0</xdr:col>
      <xdr:colOff>85725</xdr:colOff>
      <xdr:row>0</xdr:row>
      <xdr:rowOff>19051</xdr:rowOff>
    </xdr:from>
    <xdr:to>
      <xdr:col>0</xdr:col>
      <xdr:colOff>328180</xdr:colOff>
      <xdr:row>1</xdr:row>
      <xdr:rowOff>161926</xdr:rowOff>
    </xdr:to>
    <xdr:pic>
      <xdr:nvPicPr>
        <xdr:cNvPr id="14" name="Picture 1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5725" y="19051"/>
          <a:ext cx="242455" cy="304800"/>
        </a:xfrm>
        <a:prstGeom prst="rect">
          <a:avLst/>
        </a:prstGeom>
      </xdr:spPr>
    </xdr:pic>
    <xdr:clientData/>
  </xdr:twoCellAnchor>
  <xdr:oneCellAnchor>
    <xdr:from>
      <xdr:col>10</xdr:col>
      <xdr:colOff>1019176</xdr:colOff>
      <xdr:row>7</xdr:row>
      <xdr:rowOff>152400</xdr:rowOff>
    </xdr:from>
    <xdr:ext cx="264856" cy="328422"/>
    <xdr:pic>
      <xdr:nvPicPr>
        <xdr:cNvPr id="53" name="Picture 5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95826" y="1323975"/>
          <a:ext cx="264856" cy="328422"/>
        </a:xfrm>
        <a:prstGeom prst="rect">
          <a:avLst/>
        </a:prstGeom>
      </xdr:spPr>
    </xdr:pic>
    <xdr:clientData/>
  </xdr:oneCellAnchor>
  <xdr:oneCellAnchor>
    <xdr:from>
      <xdr:col>12</xdr:col>
      <xdr:colOff>1028700</xdr:colOff>
      <xdr:row>7</xdr:row>
      <xdr:rowOff>152400</xdr:rowOff>
    </xdr:from>
    <xdr:ext cx="264856" cy="328422"/>
    <xdr:pic>
      <xdr:nvPicPr>
        <xdr:cNvPr id="54" name="Picture 5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181725" y="1323975"/>
          <a:ext cx="264856" cy="328422"/>
        </a:xfrm>
        <a:prstGeom prst="rect">
          <a:avLst/>
        </a:prstGeom>
      </xdr:spPr>
    </xdr:pic>
    <xdr:clientData/>
  </xdr:oneCellAnchor>
  <xdr:twoCellAnchor editAs="oneCell">
    <xdr:from>
      <xdr:col>10</xdr:col>
      <xdr:colOff>1121961</xdr:colOff>
      <xdr:row>10</xdr:row>
      <xdr:rowOff>18586</xdr:rowOff>
    </xdr:from>
    <xdr:to>
      <xdr:col>11</xdr:col>
      <xdr:colOff>109924</xdr:colOff>
      <xdr:row>11</xdr:row>
      <xdr:rowOff>160188</xdr:rowOff>
    </xdr:to>
    <xdr:pic>
      <xdr:nvPicPr>
        <xdr:cNvPr id="11" name="Picture 1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829741" y="1681976"/>
          <a:ext cx="304504" cy="304224"/>
        </a:xfrm>
        <a:prstGeom prst="rect">
          <a:avLst/>
        </a:prstGeom>
      </xdr:spPr>
    </xdr:pic>
    <xdr:clientData/>
  </xdr:twoCellAnchor>
  <xdr:twoCellAnchor editAs="oneCell">
    <xdr:from>
      <xdr:col>6</xdr:col>
      <xdr:colOff>628650</xdr:colOff>
      <xdr:row>12</xdr:row>
      <xdr:rowOff>133350</xdr:rowOff>
    </xdr:from>
    <xdr:to>
      <xdr:col>6</xdr:col>
      <xdr:colOff>923925</xdr:colOff>
      <xdr:row>14</xdr:row>
      <xdr:rowOff>91365</xdr:rowOff>
    </xdr:to>
    <xdr:pic>
      <xdr:nvPicPr>
        <xdr:cNvPr id="12" name="Picture 1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867025" y="2124075"/>
          <a:ext cx="295275" cy="291390"/>
        </a:xfrm>
        <a:prstGeom prst="rect">
          <a:avLst/>
        </a:prstGeom>
      </xdr:spPr>
    </xdr:pic>
    <xdr:clientData/>
  </xdr:twoCellAnchor>
  <xdr:oneCellAnchor>
    <xdr:from>
      <xdr:col>12</xdr:col>
      <xdr:colOff>1308953</xdr:colOff>
      <xdr:row>47</xdr:row>
      <xdr:rowOff>20053</xdr:rowOff>
    </xdr:from>
    <xdr:ext cx="181551" cy="231775"/>
    <xdr:pic>
      <xdr:nvPicPr>
        <xdr:cNvPr id="55" name="Picture 5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85603" y="7801978"/>
          <a:ext cx="181551" cy="231775"/>
        </a:xfrm>
        <a:prstGeom prst="rect">
          <a:avLst/>
        </a:prstGeom>
      </xdr:spPr>
    </xdr:pic>
    <xdr:clientData/>
  </xdr:oneCellAnchor>
  <xdr:oneCellAnchor>
    <xdr:from>
      <xdr:col>10</xdr:col>
      <xdr:colOff>1076325</xdr:colOff>
      <xdr:row>83</xdr:row>
      <xdr:rowOff>66606</xdr:rowOff>
    </xdr:from>
    <xdr:ext cx="362289" cy="247719"/>
    <xdr:pic>
      <xdr:nvPicPr>
        <xdr:cNvPr id="56" name="Picture 5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267450" y="13620681"/>
          <a:ext cx="362289" cy="247719"/>
        </a:xfrm>
        <a:prstGeom prst="rect">
          <a:avLst/>
        </a:prstGeom>
      </xdr:spPr>
    </xdr:pic>
    <xdr:clientData/>
  </xdr:oneCellAnchor>
  <xdr:oneCellAnchor>
    <xdr:from>
      <xdr:col>12</xdr:col>
      <xdr:colOff>1050074</xdr:colOff>
      <xdr:row>85</xdr:row>
      <xdr:rowOff>38100</xdr:rowOff>
    </xdr:from>
    <xdr:ext cx="205381" cy="254547"/>
    <xdr:pic>
      <xdr:nvPicPr>
        <xdr:cNvPr id="57" name="Picture 5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41199" y="13925550"/>
          <a:ext cx="205381" cy="254547"/>
        </a:xfrm>
        <a:prstGeom prst="rect">
          <a:avLst/>
        </a:prstGeom>
      </xdr:spPr>
    </xdr:pic>
    <xdr:clientData/>
  </xdr:oneCellAnchor>
  <xdr:oneCellAnchor>
    <xdr:from>
      <xdr:col>10</xdr:col>
      <xdr:colOff>1028700</xdr:colOff>
      <xdr:row>85</xdr:row>
      <xdr:rowOff>38100</xdr:rowOff>
    </xdr:from>
    <xdr:ext cx="255968" cy="171451"/>
    <xdr:pic>
      <xdr:nvPicPr>
        <xdr:cNvPr id="58" name="Picture 5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05350" y="13925550"/>
          <a:ext cx="255968" cy="171451"/>
        </a:xfrm>
        <a:prstGeom prst="rect">
          <a:avLst/>
        </a:prstGeom>
      </xdr:spPr>
    </xdr:pic>
    <xdr:clientData/>
  </xdr:oneCellAnchor>
  <xdr:oneCellAnchor>
    <xdr:from>
      <xdr:col>13</xdr:col>
      <xdr:colOff>0</xdr:colOff>
      <xdr:row>77</xdr:row>
      <xdr:rowOff>19050</xdr:rowOff>
    </xdr:from>
    <xdr:ext cx="176486" cy="219347"/>
    <xdr:pic>
      <xdr:nvPicPr>
        <xdr:cNvPr id="59" name="Picture 5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477000" y="12582525"/>
          <a:ext cx="176486" cy="219347"/>
        </a:xfrm>
        <a:prstGeom prst="rect">
          <a:avLst/>
        </a:prstGeom>
      </xdr:spPr>
    </xdr:pic>
    <xdr:clientData/>
  </xdr:oneCellAnchor>
  <xdr:twoCellAnchor>
    <xdr:from>
      <xdr:col>10</xdr:col>
      <xdr:colOff>1038225</xdr:colOff>
      <xdr:row>99</xdr:row>
      <xdr:rowOff>142874</xdr:rowOff>
    </xdr:from>
    <xdr:to>
      <xdr:col>10</xdr:col>
      <xdr:colOff>1257301</xdr:colOff>
      <xdr:row>102</xdr:row>
      <xdr:rowOff>19050</xdr:rowOff>
    </xdr:to>
    <xdr:sp macro="" textlink="">
      <xdr:nvSpPr>
        <xdr:cNvPr id="60" name="Multiply 59"/>
        <xdr:cNvSpPr/>
      </xdr:nvSpPr>
      <xdr:spPr>
        <a:xfrm>
          <a:off x="4714875" y="16001999"/>
          <a:ext cx="219076" cy="371476"/>
        </a:xfrm>
        <a:prstGeom prst="mathMultiply">
          <a:avLst/>
        </a:prstGeom>
        <a:solidFill>
          <a:srgbClr val="00B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t-EE" sz="1100"/>
        </a:p>
      </xdr:txBody>
    </xdr:sp>
    <xdr:clientData/>
  </xdr:twoCellAnchor>
  <xdr:twoCellAnchor editAs="oneCell">
    <xdr:from>
      <xdr:col>10</xdr:col>
      <xdr:colOff>864294</xdr:colOff>
      <xdr:row>95</xdr:row>
      <xdr:rowOff>38100</xdr:rowOff>
    </xdr:from>
    <xdr:to>
      <xdr:col>10</xdr:col>
      <xdr:colOff>1181359</xdr:colOff>
      <xdr:row>97</xdr:row>
      <xdr:rowOff>133350</xdr:rowOff>
    </xdr:to>
    <xdr:pic>
      <xdr:nvPicPr>
        <xdr:cNvPr id="5" name="Picture 4"/>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540944" y="15573375"/>
          <a:ext cx="317065" cy="257175"/>
        </a:xfrm>
        <a:prstGeom prst="rect">
          <a:avLst/>
        </a:prstGeom>
      </xdr:spPr>
    </xdr:pic>
    <xdr:clientData/>
  </xdr:twoCellAnchor>
  <xdr:oneCellAnchor>
    <xdr:from>
      <xdr:col>13</xdr:col>
      <xdr:colOff>0</xdr:colOff>
      <xdr:row>101</xdr:row>
      <xdr:rowOff>19050</xdr:rowOff>
    </xdr:from>
    <xdr:ext cx="176486" cy="219347"/>
    <xdr:pic>
      <xdr:nvPicPr>
        <xdr:cNvPr id="63" name="Picture 6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477000" y="17364075"/>
          <a:ext cx="176486" cy="219347"/>
        </a:xfrm>
        <a:prstGeom prst="rect">
          <a:avLst/>
        </a:prstGeom>
      </xdr:spPr>
    </xdr:pic>
    <xdr:clientData/>
  </xdr:oneCellAnchor>
  <xdr:oneCellAnchor>
    <xdr:from>
      <xdr:col>6</xdr:col>
      <xdr:colOff>28575</xdr:colOff>
      <xdr:row>114</xdr:row>
      <xdr:rowOff>0</xdr:rowOff>
    </xdr:from>
    <xdr:ext cx="352425" cy="161925"/>
    <xdr:pic>
      <xdr:nvPicPr>
        <xdr:cNvPr id="62" name="Picture 6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38375" y="18326100"/>
          <a:ext cx="352425" cy="161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152400</xdr:colOff>
      <xdr:row>2</xdr:row>
      <xdr:rowOff>138249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52425" cy="443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33525"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57525"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819525"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81525"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95525"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40106</xdr:colOff>
      <xdr:row>2</xdr:row>
      <xdr:rowOff>140970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400050" cy="445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acebook.com/Saku-Petangiklubi-267634706906332/?hc_ref=ARTHdP8N4OF4g0_RfMcPKcuDiea6MpNi8H-6vIqOobKb4hAtZyGhFCzz6bOnH3UvsyY&amp;fref=nf&amp;__xts__%5B0%5D=68.ARDu02bMgl9oBx6nKN0kZwhwuPOoKE0IX90FFT3Qe1jYfKNSwf1R0H-ige1xaVs-m2VFS8-EJJDENlLu37LNNXk24PY54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K60"/>
  <sheetViews>
    <sheetView showGridLines="0" showRowColHeaders="0" zoomScaleNormal="100" workbookViewId="0">
      <pane ySplit="3" topLeftCell="A4" activePane="bottomLeft" state="frozen"/>
      <selection activeCell="M42" sqref="M42"/>
      <selection pane="bottomLeft" activeCell="I1" sqref="I1"/>
    </sheetView>
  </sheetViews>
  <sheetFormatPr defaultRowHeight="12.75" x14ac:dyDescent="0.2"/>
  <cols>
    <col min="1" max="1" width="12.5703125" style="227" customWidth="1"/>
    <col min="2" max="2" width="5.5703125" style="227" bestFit="1" customWidth="1"/>
    <col min="3" max="3" width="25.5703125" style="227" customWidth="1"/>
    <col min="4" max="4" width="7.85546875" style="227" customWidth="1"/>
    <col min="5" max="5" width="6" style="227" customWidth="1"/>
    <col min="6" max="6" width="15.5703125" style="227" customWidth="1"/>
    <col min="7" max="7" width="14.85546875" style="227" customWidth="1"/>
    <col min="8" max="8" width="4.5703125" style="227" customWidth="1"/>
    <col min="9" max="9" width="5" style="227" bestFit="1" customWidth="1"/>
    <col min="10" max="16384" width="9.140625" style="227"/>
  </cols>
  <sheetData>
    <row r="1" spans="1:11" x14ac:dyDescent="0.2">
      <c r="C1" s="302" t="s">
        <v>245</v>
      </c>
      <c r="F1" s="54" t="str">
        <f>HYPERLINK("","")</f>
        <v/>
      </c>
      <c r="G1" s="297"/>
      <c r="H1" s="1007" t="s">
        <v>671</v>
      </c>
      <c r="I1" s="595"/>
    </row>
    <row r="2" spans="1:11" x14ac:dyDescent="0.2">
      <c r="F2" s="22"/>
      <c r="G2" s="9"/>
      <c r="H2" s="9"/>
      <c r="I2" s="229"/>
    </row>
    <row r="3" spans="1:11" x14ac:dyDescent="0.2">
      <c r="A3" s="230" t="s">
        <v>215</v>
      </c>
      <c r="B3" s="230" t="s">
        <v>216</v>
      </c>
      <c r="C3" s="230" t="s">
        <v>217</v>
      </c>
      <c r="D3" s="230" t="s">
        <v>218</v>
      </c>
      <c r="E3" s="230" t="s">
        <v>154</v>
      </c>
      <c r="F3" s="230" t="s">
        <v>219</v>
      </c>
      <c r="G3" s="230" t="s">
        <v>220</v>
      </c>
      <c r="H3" s="230" t="s">
        <v>155</v>
      </c>
      <c r="I3" s="230" t="s">
        <v>221</v>
      </c>
    </row>
    <row r="4" spans="1:11" x14ac:dyDescent="0.2">
      <c r="A4" s="870" t="s">
        <v>63</v>
      </c>
      <c r="B4" s="871"/>
      <c r="D4" s="295"/>
      <c r="H4" s="231"/>
    </row>
    <row r="5" spans="1:11" x14ac:dyDescent="0.2">
      <c r="A5" s="1144" t="s">
        <v>327</v>
      </c>
      <c r="B5" s="1145" t="s">
        <v>222</v>
      </c>
      <c r="C5" s="1044" t="s">
        <v>223</v>
      </c>
      <c r="D5" s="1044" t="s">
        <v>424</v>
      </c>
      <c r="E5" s="596" t="str">
        <f>HYPERLINK("#A!K1","A")</f>
        <v>A</v>
      </c>
      <c r="F5" s="1043" t="str">
        <f>HYPERLINK("http://kaart.delfi.ee//?bookmark=220f592074a34de823928c6a440074a9","Voka petangihall")</f>
        <v>Voka petangihall</v>
      </c>
      <c r="G5" s="1044" t="s">
        <v>225</v>
      </c>
      <c r="H5" s="1045">
        <v>1</v>
      </c>
      <c r="I5" s="1046">
        <v>20</v>
      </c>
    </row>
    <row r="6" spans="1:11" x14ac:dyDescent="0.2">
      <c r="A6" s="1146" t="s">
        <v>312</v>
      </c>
      <c r="B6" s="1147" t="s">
        <v>227</v>
      </c>
      <c r="C6" s="1146" t="s">
        <v>767</v>
      </c>
      <c r="D6" s="1146" t="s">
        <v>226</v>
      </c>
      <c r="E6" s="607" t="str">
        <f>HYPERLINK("#1!G1","1")</f>
        <v>1</v>
      </c>
      <c r="F6" s="1047" t="str">
        <f>HYPERLINK("https://kaart.delfi.ee/?bookmark=521b80d6ceeefbe3e5d227267242b576","K-Järve spordihoone")</f>
        <v>K-Järve spordihoone</v>
      </c>
      <c r="G6" s="1048" t="s">
        <v>225</v>
      </c>
      <c r="H6" s="1049">
        <v>2</v>
      </c>
      <c r="I6" s="1050">
        <f>Reit!P54</f>
        <v>12</v>
      </c>
    </row>
    <row r="7" spans="1:11" x14ac:dyDescent="0.2">
      <c r="A7" s="1148" t="s">
        <v>289</v>
      </c>
      <c r="B7" s="1149" t="s">
        <v>233</v>
      </c>
      <c r="C7" s="1051" t="str">
        <f>HYPERLINK("http://www.petanque.ee/index.php?id=103589&amp;cid=551","14. Klubide karikas")</f>
        <v>14. Klubide karikas</v>
      </c>
      <c r="D7" s="1052" t="s">
        <v>292</v>
      </c>
      <c r="E7" s="300"/>
      <c r="F7" s="1051" t="str">
        <f>HYPERLINK("http://kaart.delfi.ee//?bookmark=ebd616e171f4882941c876d5ba118858","Voka staadion")</f>
        <v>Voka staadion</v>
      </c>
      <c r="G7" s="1052" t="s">
        <v>291</v>
      </c>
      <c r="H7" s="1053">
        <v>50</v>
      </c>
      <c r="I7" s="1054" t="str">
        <f>HYPERLINK("http://www.petanque.ee/juhendid/klubide-karikas-2018/","juh")</f>
        <v>juh</v>
      </c>
    </row>
    <row r="8" spans="1:11" x14ac:dyDescent="0.2">
      <c r="A8" s="1150" t="s">
        <v>290</v>
      </c>
      <c r="B8" s="1151" t="s">
        <v>233</v>
      </c>
      <c r="C8" s="1055" t="str">
        <f>HYPERLINK("http://www.petanque.ee/index.php?id=103589&amp;cid=552","14. Klubide karikas")</f>
        <v>14. Klubide karikas</v>
      </c>
      <c r="D8" s="1056" t="s">
        <v>292</v>
      </c>
      <c r="E8" s="612"/>
      <c r="F8" s="1055" t="str">
        <f>HYPERLINK("http://kaart.delfi.ee//?bookmark=ebd616e171f4882941c876d5ba118858","Voka staadion")</f>
        <v>Voka staadion</v>
      </c>
      <c r="G8" s="1056" t="s">
        <v>291</v>
      </c>
      <c r="H8" s="1057"/>
      <c r="I8" s="1058"/>
    </row>
    <row r="9" spans="1:11" x14ac:dyDescent="0.2">
      <c r="A9" s="1060" t="s">
        <v>266</v>
      </c>
      <c r="B9" s="1152" t="s">
        <v>227</v>
      </c>
      <c r="C9" s="1153" t="s">
        <v>268</v>
      </c>
      <c r="D9" s="1153" t="s">
        <v>228</v>
      </c>
      <c r="E9" s="296" t="str">
        <f>HYPERLINK("#V1!G1","V1")</f>
        <v>V1</v>
      </c>
      <c r="F9" s="1059" t="str">
        <f>HYPERLINK("http://kaart.delfi.ee//?bookmark=ebd616e171f4882941c876d5ba118858","Voka staadion")</f>
        <v>Voka staadion</v>
      </c>
      <c r="G9" s="1060" t="s">
        <v>114</v>
      </c>
      <c r="H9" s="1061">
        <v>2</v>
      </c>
      <c r="I9" s="1062">
        <f>V!V67</f>
        <v>25</v>
      </c>
    </row>
    <row r="10" spans="1:11" hidden="1" x14ac:dyDescent="0.2">
      <c r="A10" s="1064" t="s">
        <v>246</v>
      </c>
      <c r="B10" s="1154" t="s">
        <v>227</v>
      </c>
      <c r="C10" s="1064" t="s">
        <v>229</v>
      </c>
      <c r="D10" s="1064" t="s">
        <v>228</v>
      </c>
      <c r="E10" s="613" t="str">
        <f>HYPERLINK("#M1!I1","M1")</f>
        <v>M1</v>
      </c>
      <c r="F10" s="1063" t="str">
        <f>HYPERLINK("https://kaart.delfi.ee//?bookmark=8d4f7582049a644e192eaee97c9e372f","Mäetaguse parkla")</f>
        <v>Mäetaguse parkla</v>
      </c>
      <c r="G10" s="1064" t="s">
        <v>230</v>
      </c>
      <c r="H10" s="1065">
        <v>0</v>
      </c>
      <c r="I10" s="1066" t="e">
        <f>#REF!</f>
        <v>#REF!</v>
      </c>
    </row>
    <row r="11" spans="1:11" s="228" customFormat="1" x14ac:dyDescent="0.2">
      <c r="A11" s="1155" t="s">
        <v>313</v>
      </c>
      <c r="B11" s="1147" t="s">
        <v>227</v>
      </c>
      <c r="C11" s="1146" t="s">
        <v>768</v>
      </c>
      <c r="D11" s="1146" t="s">
        <v>228</v>
      </c>
      <c r="E11" s="607" t="str">
        <f>HYPERLINK("#2!I1","2")</f>
        <v>2</v>
      </c>
      <c r="F11" s="1047" t="str">
        <f>HYPERLINK("https://kaart.delfi.ee/?bookmark=521b80d6ceeefbe3e5d227267242b576","K-Järve spordihoone")</f>
        <v>K-Järve spordihoone</v>
      </c>
      <c r="G11" s="1048" t="s">
        <v>225</v>
      </c>
      <c r="H11" s="1049">
        <v>2</v>
      </c>
      <c r="I11" s="1050">
        <f>Reit!Q54</f>
        <v>18</v>
      </c>
    </row>
    <row r="12" spans="1:11" x14ac:dyDescent="0.2">
      <c r="A12" s="1068" t="s">
        <v>267</v>
      </c>
      <c r="B12" s="1156" t="s">
        <v>227</v>
      </c>
      <c r="C12" s="1157" t="s">
        <v>269</v>
      </c>
      <c r="D12" s="1157" t="s">
        <v>228</v>
      </c>
      <c r="E12" s="631" t="str">
        <f>HYPERLINK("#V2!G1","V2")</f>
        <v>V2</v>
      </c>
      <c r="F12" s="1067" t="str">
        <f>HYPERLINK("http://kaart.delfi.ee//?bookmark=ebd616e171f4882941c876d5ba118858","Voka staadion")</f>
        <v>Voka staadion</v>
      </c>
      <c r="G12" s="1068" t="s">
        <v>114</v>
      </c>
      <c r="H12" s="1069">
        <v>2</v>
      </c>
      <c r="I12" s="1070">
        <f>V!W67</f>
        <v>33</v>
      </c>
    </row>
    <row r="13" spans="1:11" x14ac:dyDescent="0.2">
      <c r="A13" s="1158" t="s">
        <v>314</v>
      </c>
      <c r="B13" s="1159" t="s">
        <v>227</v>
      </c>
      <c r="C13" s="1158" t="s">
        <v>769</v>
      </c>
      <c r="D13" s="1158" t="s">
        <v>224</v>
      </c>
      <c r="E13" s="298" t="str">
        <f>HYPERLINK("#3!J1","3")</f>
        <v>3</v>
      </c>
      <c r="F13" s="1071" t="str">
        <f>HYPERLINK("https://kaart.delfi.ee/?bookmark=521b80d6ceeefbe3e5d227267242b576","K-Järve spordihoone")</f>
        <v>K-Järve spordihoone</v>
      </c>
      <c r="G13" s="1072" t="s">
        <v>225</v>
      </c>
      <c r="H13" s="1073">
        <v>2</v>
      </c>
      <c r="I13" s="1074">
        <f>Reit!R54</f>
        <v>17</v>
      </c>
    </row>
    <row r="14" spans="1:11" x14ac:dyDescent="0.2">
      <c r="A14" s="872" t="s">
        <v>64</v>
      </c>
      <c r="B14" s="873"/>
      <c r="C14" s="859"/>
      <c r="D14" s="859"/>
      <c r="E14" s="632"/>
      <c r="F14" s="859"/>
      <c r="G14" s="859"/>
      <c r="H14" s="860"/>
      <c r="I14" s="861"/>
      <c r="J14" s="228"/>
      <c r="K14" s="228"/>
    </row>
    <row r="15" spans="1:11" x14ac:dyDescent="0.2">
      <c r="A15" s="1160" t="s">
        <v>293</v>
      </c>
      <c r="B15" s="1161" t="s">
        <v>222</v>
      </c>
      <c r="C15" s="1162" t="s">
        <v>429</v>
      </c>
      <c r="D15" s="1076" t="s">
        <v>224</v>
      </c>
      <c r="E15" s="473"/>
      <c r="F15" s="1075" t="str">
        <f>HYPERLINK("http://kaart.delfi.ee//?bookmark=ebd616e171f4882941c876d5ba118858","Voka staadion")</f>
        <v>Voka staadion</v>
      </c>
      <c r="G15" s="1076" t="s">
        <v>325</v>
      </c>
      <c r="H15" s="1077">
        <v>8</v>
      </c>
      <c r="I15" s="1078" t="str">
        <f>HYPERLINK("https://webzone.ee/petank/juhendid/esl-2018-juhend.pdf","juh")</f>
        <v>juh</v>
      </c>
      <c r="J15" s="228"/>
      <c r="K15" s="228"/>
    </row>
    <row r="16" spans="1:11" x14ac:dyDescent="0.2">
      <c r="A16" s="1163" t="s">
        <v>294</v>
      </c>
      <c r="B16" s="1164" t="s">
        <v>233</v>
      </c>
      <c r="C16" s="1079" t="str">
        <f>HYPERLINK("http://www.joud.ee/est/g77/","9. EMSL Jõud MV")</f>
        <v>9. EMSL Jõud MV</v>
      </c>
      <c r="D16" s="1080" t="s">
        <v>338</v>
      </c>
      <c r="E16" s="633"/>
      <c r="F16" s="1079" t="str">
        <f>HYPERLINK("http://kaart.delfi.ee//?bookmark=ebd616e171f4882941c876d5ba118858","Voka staadion")</f>
        <v>Voka staadion</v>
      </c>
      <c r="G16" s="1080" t="s">
        <v>326</v>
      </c>
      <c r="H16" s="1081">
        <v>25</v>
      </c>
      <c r="I16" s="1082" t="str">
        <f>HYPERLINK("https://webzone.ee/petank/juhendid/joud-2018-juhend.pdf","juh")</f>
        <v>juh</v>
      </c>
      <c r="J16" s="228"/>
      <c r="K16" s="228"/>
    </row>
    <row r="17" spans="1:11" x14ac:dyDescent="0.2">
      <c r="A17" s="1068" t="s">
        <v>278</v>
      </c>
      <c r="B17" s="1156" t="s">
        <v>227</v>
      </c>
      <c r="C17" s="1157" t="s">
        <v>270</v>
      </c>
      <c r="D17" s="1157" t="s">
        <v>228</v>
      </c>
      <c r="E17" s="631" t="str">
        <f>HYPERLINK("#V3!G1","V3")</f>
        <v>V3</v>
      </c>
      <c r="F17" s="1067" t="str">
        <f>HYPERLINK("http://kaart.delfi.ee//?bookmark=ebd616e171f4882941c876d5ba118858","Voka staadion")</f>
        <v>Voka staadion</v>
      </c>
      <c r="G17" s="1068" t="s">
        <v>114</v>
      </c>
      <c r="H17" s="1069">
        <v>2</v>
      </c>
      <c r="I17" s="1070">
        <f>V!X67</f>
        <v>30</v>
      </c>
      <c r="J17" s="228"/>
      <c r="K17" s="228"/>
    </row>
    <row r="18" spans="1:11" s="228" customFormat="1" x14ac:dyDescent="0.2">
      <c r="A18" s="1146" t="s">
        <v>316</v>
      </c>
      <c r="B18" s="1147" t="s">
        <v>227</v>
      </c>
      <c r="C18" s="1146" t="s">
        <v>235</v>
      </c>
      <c r="D18" s="1146" t="s">
        <v>226</v>
      </c>
      <c r="E18" s="607" t="str">
        <f>HYPERLINK("#4!J1","4")</f>
        <v>4</v>
      </c>
      <c r="F18" s="1083" t="str">
        <f>HYPERLINK("http://kaart.delfi.ee//?bookmark=ebd616e171f4882941c876d5ba118858","Voka staadion")</f>
        <v>Voka staadion</v>
      </c>
      <c r="G18" s="1048" t="s">
        <v>225</v>
      </c>
      <c r="H18" s="1049">
        <v>2</v>
      </c>
      <c r="I18" s="1050">
        <f>Reit!S54</f>
        <v>31</v>
      </c>
    </row>
    <row r="19" spans="1:11" s="228" customFormat="1" x14ac:dyDescent="0.2">
      <c r="A19" s="1165" t="s">
        <v>285</v>
      </c>
      <c r="B19" s="1166" t="s">
        <v>233</v>
      </c>
      <c r="C19" s="1165" t="s">
        <v>494</v>
      </c>
      <c r="D19" s="1165" t="s">
        <v>224</v>
      </c>
      <c r="E19" s="701" t="str">
        <f>HYPERLINK("#'V-PL'!w1","V-PL")</f>
        <v>V-PL</v>
      </c>
      <c r="F19" s="1084" t="str">
        <f>HYPERLINK("https://kaart.delfi.ee/?bookmark=63ebb20d0f5732aa12acf360e2b986df","Voka staadion")</f>
        <v>Voka staadion</v>
      </c>
      <c r="G19" s="1085" t="s">
        <v>232</v>
      </c>
      <c r="H19" s="1086">
        <v>5</v>
      </c>
      <c r="I19" s="1087">
        <v>24</v>
      </c>
    </row>
    <row r="20" spans="1:11" s="228" customFormat="1" x14ac:dyDescent="0.2">
      <c r="A20" s="1167" t="s">
        <v>284</v>
      </c>
      <c r="B20" s="1168" t="s">
        <v>222</v>
      </c>
      <c r="C20" s="1089" t="s">
        <v>283</v>
      </c>
      <c r="D20" s="1089" t="s">
        <v>224</v>
      </c>
      <c r="E20" s="783" t="str">
        <f>HYPERLINK("#Mu!J1","Mu")</f>
        <v>Mu</v>
      </c>
      <c r="F20" s="1088" t="str">
        <f>HYPERLINK("https://kaart.delfi.ee/?bookmark=63ebb20d0f5732aa12acf360e2b986df","Voka staadion")</f>
        <v>Voka staadion</v>
      </c>
      <c r="G20" s="1089" t="s">
        <v>232</v>
      </c>
      <c r="H20" s="1090">
        <v>2</v>
      </c>
      <c r="I20" s="1091">
        <v>25</v>
      </c>
    </row>
    <row r="21" spans="1:11" hidden="1" x14ac:dyDescent="0.2">
      <c r="A21" s="1064" t="s">
        <v>247</v>
      </c>
      <c r="B21" s="1154" t="s">
        <v>227</v>
      </c>
      <c r="C21" s="1064" t="s">
        <v>234</v>
      </c>
      <c r="D21" s="1064" t="s">
        <v>226</v>
      </c>
      <c r="E21" s="702" t="str">
        <f>HYPERLINK("#M2!I1","M2")</f>
        <v>M2</v>
      </c>
      <c r="F21" s="1063" t="str">
        <f>HYPERLINK("https://kaart.delfi.ee//?bookmark=8d4f7582049a644e192eaee97c9e372f","Mäetaguse parkla")</f>
        <v>Mäetaguse parkla</v>
      </c>
      <c r="G21" s="1064" t="s">
        <v>230</v>
      </c>
      <c r="H21" s="1065">
        <v>0</v>
      </c>
      <c r="I21" s="1066" t="e">
        <f>#REF!</f>
        <v>#REF!</v>
      </c>
      <c r="J21" s="228"/>
      <c r="K21" s="228"/>
    </row>
    <row r="22" spans="1:11" s="228" customFormat="1" x14ac:dyDescent="0.2">
      <c r="A22" s="1060" t="s">
        <v>279</v>
      </c>
      <c r="B22" s="1152" t="s">
        <v>227</v>
      </c>
      <c r="C22" s="1153" t="s">
        <v>271</v>
      </c>
      <c r="D22" s="1153" t="s">
        <v>228</v>
      </c>
      <c r="E22" s="296" t="str">
        <f>HYPERLINK("#V4!G1","V4")</f>
        <v>V4</v>
      </c>
      <c r="F22" s="1059" t="str">
        <f>HYPERLINK("http://kaart.delfi.ee//?bookmark=ebd616e171f4882941c876d5ba118858","Voka staadion")</f>
        <v>Voka staadion</v>
      </c>
      <c r="G22" s="1060" t="s">
        <v>114</v>
      </c>
      <c r="H22" s="1061">
        <v>2</v>
      </c>
      <c r="I22" s="1062">
        <f>V!Y67</f>
        <v>26</v>
      </c>
    </row>
    <row r="23" spans="1:11" x14ac:dyDescent="0.2">
      <c r="A23" s="1158" t="s">
        <v>315</v>
      </c>
      <c r="B23" s="1159" t="s">
        <v>227</v>
      </c>
      <c r="C23" s="1158" t="s">
        <v>235</v>
      </c>
      <c r="D23" s="1158" t="s">
        <v>231</v>
      </c>
      <c r="E23" s="298" t="str">
        <f>HYPERLINK("#5!J1","5")</f>
        <v>5</v>
      </c>
      <c r="F23" s="1071" t="str">
        <f>HYPERLINK("http://kaart.delfi.ee//?bookmark=1840db012ef3a4aff78d37f1f3ff52b8","K-Järve spordihoone")</f>
        <v>K-Järve spordihoone</v>
      </c>
      <c r="G23" s="1072" t="s">
        <v>225</v>
      </c>
      <c r="H23" s="1073">
        <v>2</v>
      </c>
      <c r="I23" s="1074">
        <f>Reit!T54</f>
        <v>8</v>
      </c>
      <c r="J23" s="228"/>
      <c r="K23" s="228"/>
    </row>
    <row r="24" spans="1:11" s="228" customFormat="1" x14ac:dyDescent="0.2">
      <c r="A24" s="1169" t="s">
        <v>286</v>
      </c>
      <c r="B24" s="1170" t="s">
        <v>227</v>
      </c>
      <c r="C24" s="1169" t="s">
        <v>335</v>
      </c>
      <c r="D24" s="1169" t="s">
        <v>226</v>
      </c>
      <c r="E24" s="782" t="str">
        <f>HYPERLINK("#24h!H1","24h")</f>
        <v>24h</v>
      </c>
      <c r="F24" s="1092" t="str">
        <f>HYPERLINK("http://kaart.delfi.ee//?bookmark=ebd616e171f4882941c876d5ba118858","Voka staadion")</f>
        <v>Voka staadion</v>
      </c>
      <c r="G24" s="1093" t="s">
        <v>232</v>
      </c>
      <c r="H24" s="1094">
        <v>5</v>
      </c>
      <c r="I24" s="1095"/>
    </row>
    <row r="25" spans="1:11" x14ac:dyDescent="0.2">
      <c r="A25" s="870" t="s">
        <v>65</v>
      </c>
      <c r="B25" s="871"/>
      <c r="C25" s="859"/>
      <c r="D25" s="859"/>
      <c r="E25" s="233"/>
      <c r="F25" s="859"/>
      <c r="G25" s="859"/>
      <c r="H25" s="1096"/>
      <c r="I25" s="1097"/>
      <c r="J25" s="228"/>
      <c r="K25" s="228"/>
    </row>
    <row r="26" spans="1:11" hidden="1" x14ac:dyDescent="0.2">
      <c r="A26" s="1099" t="s">
        <v>248</v>
      </c>
      <c r="B26" s="1171" t="s">
        <v>227</v>
      </c>
      <c r="C26" s="1099" t="s">
        <v>236</v>
      </c>
      <c r="D26" s="1099" t="s">
        <v>228</v>
      </c>
      <c r="E26" s="232" t="str">
        <f>HYPERLINK("#M3!I1","M3")</f>
        <v>M3</v>
      </c>
      <c r="F26" s="1098" t="str">
        <f>HYPERLINK("https://kaart.delfi.ee//?bookmark=8d4f7582049a644e192eaee97c9e372f","Mäetaguse parkla")</f>
        <v>Mäetaguse parkla</v>
      </c>
      <c r="G26" s="1099" t="s">
        <v>230</v>
      </c>
      <c r="H26" s="1100">
        <v>0</v>
      </c>
      <c r="I26" s="1101" t="e">
        <f>#REF!</f>
        <v>#REF!</v>
      </c>
      <c r="J26" s="228"/>
      <c r="K26" s="228"/>
    </row>
    <row r="27" spans="1:11" s="228" customFormat="1" x14ac:dyDescent="0.2">
      <c r="A27" s="1068" t="s">
        <v>280</v>
      </c>
      <c r="B27" s="1156" t="s">
        <v>227</v>
      </c>
      <c r="C27" s="1157" t="s">
        <v>272</v>
      </c>
      <c r="D27" s="1157" t="s">
        <v>228</v>
      </c>
      <c r="E27" s="631" t="str">
        <f>HYPERLINK("#V5!G1","V5")</f>
        <v>V5</v>
      </c>
      <c r="F27" s="1067" t="str">
        <f>HYPERLINK("http://kaart.delfi.ee//?bookmark=ebd616e171f4882941c876d5ba118858","Voka staadion")</f>
        <v>Voka staadion</v>
      </c>
      <c r="G27" s="1068" t="s">
        <v>114</v>
      </c>
      <c r="H27" s="1069">
        <v>2</v>
      </c>
      <c r="I27" s="1070">
        <f>V!Z67</f>
        <v>30</v>
      </c>
    </row>
    <row r="28" spans="1:11" s="228" customFormat="1" x14ac:dyDescent="0.2">
      <c r="A28" s="1146" t="s">
        <v>353</v>
      </c>
      <c r="B28" s="1147" t="s">
        <v>309</v>
      </c>
      <c r="C28" s="1146" t="s">
        <v>317</v>
      </c>
      <c r="D28" s="1146" t="s">
        <v>228</v>
      </c>
      <c r="E28" s="607" t="str">
        <f>HYPERLINK("#6!J1","6")</f>
        <v>6</v>
      </c>
      <c r="F28" s="1102" t="str">
        <f>HYPERLINK("https://kaart.delfi.ee/?bookmark=4c0b1b0c24ff9f4919899a9546bf50f1","Jõhvi, Neptun")</f>
        <v>Jõhvi, Neptun</v>
      </c>
      <c r="G28" s="1048" t="s">
        <v>237</v>
      </c>
      <c r="H28" s="1049">
        <v>2</v>
      </c>
      <c r="I28" s="1050">
        <f>Reit!U54</f>
        <v>24</v>
      </c>
    </row>
    <row r="29" spans="1:11" s="228" customFormat="1" x14ac:dyDescent="0.2">
      <c r="A29" s="1146" t="s">
        <v>318</v>
      </c>
      <c r="B29" s="1147" t="s">
        <v>309</v>
      </c>
      <c r="C29" s="1146" t="s">
        <v>321</v>
      </c>
      <c r="D29" s="1146" t="s">
        <v>226</v>
      </c>
      <c r="E29" s="607" t="str">
        <f>HYPERLINK("#7!J1","7")</f>
        <v>7</v>
      </c>
      <c r="F29" s="1102" t="str">
        <f>HYPERLINK("https://kaart.delfi.ee/?bookmark=4c0b1b0c24ff9f4919899a9546bf50f1","Jõhvi, Neptun")</f>
        <v>Jõhvi, Neptun</v>
      </c>
      <c r="G29" s="1048" t="s">
        <v>237</v>
      </c>
      <c r="H29" s="1049">
        <v>2</v>
      </c>
      <c r="I29" s="1050">
        <f>Reit!V54</f>
        <v>25</v>
      </c>
    </row>
    <row r="30" spans="1:11" s="228" customFormat="1" x14ac:dyDescent="0.2">
      <c r="A30" s="1068" t="s">
        <v>281</v>
      </c>
      <c r="B30" s="1156" t="s">
        <v>227</v>
      </c>
      <c r="C30" s="1157" t="s">
        <v>273</v>
      </c>
      <c r="D30" s="1157" t="s">
        <v>228</v>
      </c>
      <c r="E30" s="631" t="str">
        <f>HYPERLINK("#V6!G1","V6")</f>
        <v>V6</v>
      </c>
      <c r="F30" s="1067" t="str">
        <f>HYPERLINK("http://kaart.delfi.ee//?bookmark=ebd616e171f4882941c876d5ba118858","Voka staadion")</f>
        <v>Voka staadion</v>
      </c>
      <c r="G30" s="1068" t="s">
        <v>114</v>
      </c>
      <c r="H30" s="1069">
        <v>2</v>
      </c>
      <c r="I30" s="1070">
        <f>V!AA67</f>
        <v>33</v>
      </c>
    </row>
    <row r="31" spans="1:11" s="228" customFormat="1" x14ac:dyDescent="0.2">
      <c r="A31" s="1158" t="s">
        <v>332</v>
      </c>
      <c r="B31" s="1159" t="s">
        <v>222</v>
      </c>
      <c r="C31" s="1158" t="s">
        <v>317</v>
      </c>
      <c r="D31" s="1158" t="s">
        <v>224</v>
      </c>
      <c r="E31" s="288" t="str">
        <f>HYPERLINK("#8!J1","8")</f>
        <v>8</v>
      </c>
      <c r="F31" s="1103" t="str">
        <f>HYPERLINK("https://kaart.delfi.ee/?bookmark=4c0b1b0c24ff9f4919899a9546bf50f1","Jõhvi, Neptun")</f>
        <v>Jõhvi, Neptun</v>
      </c>
      <c r="G31" s="1072" t="s">
        <v>237</v>
      </c>
      <c r="H31" s="1073">
        <v>1</v>
      </c>
      <c r="I31" s="1074">
        <f>Reit!W54</f>
        <v>17</v>
      </c>
      <c r="K31" s="297"/>
    </row>
    <row r="32" spans="1:11" x14ac:dyDescent="0.2">
      <c r="A32" s="872" t="s">
        <v>66</v>
      </c>
      <c r="B32" s="873"/>
      <c r="C32" s="859"/>
      <c r="D32" s="859"/>
      <c r="E32" s="632"/>
      <c r="F32" s="859"/>
      <c r="G32" s="859"/>
      <c r="H32" s="860"/>
      <c r="I32" s="861"/>
      <c r="J32" s="228"/>
      <c r="K32" s="297"/>
    </row>
    <row r="33" spans="1:11" x14ac:dyDescent="0.2">
      <c r="A33" s="1068" t="s">
        <v>282</v>
      </c>
      <c r="B33" s="1156" t="s">
        <v>227</v>
      </c>
      <c r="C33" s="1157" t="s">
        <v>274</v>
      </c>
      <c r="D33" s="1157" t="s">
        <v>228</v>
      </c>
      <c r="E33" s="631" t="str">
        <f>HYPERLINK("#V7!G1","V7")</f>
        <v>V7</v>
      </c>
      <c r="F33" s="1067" t="str">
        <f>HYPERLINK("http://kaart.delfi.ee//?bookmark=ebd616e171f4882941c876d5ba118858","Voka staadion")</f>
        <v>Voka staadion</v>
      </c>
      <c r="G33" s="1068" t="s">
        <v>114</v>
      </c>
      <c r="H33" s="1069">
        <v>2</v>
      </c>
      <c r="I33" s="1070">
        <f>V!AB67</f>
        <v>20</v>
      </c>
      <c r="J33" s="228"/>
      <c r="K33" s="297"/>
    </row>
    <row r="34" spans="1:11" x14ac:dyDescent="0.2">
      <c r="A34" s="1172" t="s">
        <v>319</v>
      </c>
      <c r="B34" s="1159" t="s">
        <v>227</v>
      </c>
      <c r="C34" s="1158" t="s">
        <v>235</v>
      </c>
      <c r="D34" s="1158" t="s">
        <v>228</v>
      </c>
      <c r="E34" s="298" t="str">
        <f>HYPERLINK("#9!J1","9")</f>
        <v>9</v>
      </c>
      <c r="F34" s="1071" t="str">
        <f>HYPERLINK("https://kaart.delfi.ee/?bookmark=521b80d6ceeefbe3e5d227267242b576","K-Järve spordihoone")</f>
        <v>K-Järve spordihoone</v>
      </c>
      <c r="G34" s="1072" t="s">
        <v>225</v>
      </c>
      <c r="H34" s="1073" t="s">
        <v>173</v>
      </c>
      <c r="I34" s="1074">
        <f>Reit!X54</f>
        <v>16</v>
      </c>
      <c r="J34" s="228"/>
      <c r="K34" s="297"/>
    </row>
    <row r="35" spans="1:11" x14ac:dyDescent="0.2">
      <c r="A35" s="1173" t="s">
        <v>323</v>
      </c>
      <c r="B35" s="1174" t="s">
        <v>222</v>
      </c>
      <c r="C35" s="1175" t="str">
        <f>HYPERLINK("http://www.petanque.ee/index.php?id=103589&amp;cid=580","28. Eesti MV")</f>
        <v>28. Eesti MV</v>
      </c>
      <c r="D35" s="1173" t="s">
        <v>224</v>
      </c>
      <c r="E35" s="299" t="str">
        <f>HYPERLINK("http://www.petanque.ee/index.php?id=103589&amp;cid=580","e8")</f>
        <v>e8</v>
      </c>
      <c r="F35" s="1104" t="str">
        <f>HYPERLINK("https://kaart.delfi.ee/?bookmark=4c0b1b0c24ff9f4919899a9546bf50f1","Jõhvi, Neptun")</f>
        <v>Jõhvi, Neptun</v>
      </c>
      <c r="G35" s="1105" t="s">
        <v>291</v>
      </c>
      <c r="H35" s="1106">
        <v>8</v>
      </c>
      <c r="I35" s="1107">
        <v>35</v>
      </c>
      <c r="J35" s="228"/>
      <c r="K35" s="297"/>
    </row>
    <row r="36" spans="1:11" x14ac:dyDescent="0.2">
      <c r="A36" s="1176" t="s">
        <v>324</v>
      </c>
      <c r="B36" s="1177" t="s">
        <v>233</v>
      </c>
      <c r="C36" s="1178" t="str">
        <f>HYPERLINK("","Eesti reiting, 5. Viru karikas")</f>
        <v>Eesti reiting, 5. Viru karikas</v>
      </c>
      <c r="D36" s="1176" t="s">
        <v>228</v>
      </c>
      <c r="E36" s="874" t="str">
        <f>HYPERLINK("http://www.petanque.ee/index.php?id=103589&amp;cid=581","e9")</f>
        <v>e9</v>
      </c>
      <c r="F36" s="1108" t="str">
        <f>HYPERLINK("https://kaart.delfi.ee/?bookmark=521b80d6ceeefbe3e5d227267242b576","K-Järve spordihoone")</f>
        <v>K-Järve spordihoone</v>
      </c>
      <c r="G36" s="1109" t="s">
        <v>291</v>
      </c>
      <c r="H36" s="1110">
        <v>8</v>
      </c>
      <c r="I36" s="1111">
        <v>36</v>
      </c>
      <c r="J36" s="228"/>
      <c r="K36" s="297"/>
    </row>
    <row r="37" spans="1:11" s="228" customFormat="1" x14ac:dyDescent="0.2">
      <c r="A37" s="1113" t="s">
        <v>609</v>
      </c>
      <c r="B37" s="1179" t="s">
        <v>227</v>
      </c>
      <c r="C37" s="1180" t="s">
        <v>275</v>
      </c>
      <c r="D37" s="1180" t="s">
        <v>228</v>
      </c>
      <c r="E37" s="914" t="str">
        <f>HYPERLINK("#V8!G1","V8")</f>
        <v>V8</v>
      </c>
      <c r="F37" s="1112" t="str">
        <f>HYPERLINK("http://kaart.delfi.ee//?bookmark=ebd616e171f4882941c876d5ba118858","Voka staadion")</f>
        <v>Voka staadion</v>
      </c>
      <c r="G37" s="1113" t="s">
        <v>114</v>
      </c>
      <c r="H37" s="1114">
        <v>2</v>
      </c>
      <c r="I37" s="1115">
        <f>V!AC67</f>
        <v>26</v>
      </c>
      <c r="K37" s="297"/>
    </row>
    <row r="38" spans="1:11" s="228" customFormat="1" x14ac:dyDescent="0.2">
      <c r="A38" s="1117" t="s">
        <v>637</v>
      </c>
      <c r="B38" s="1181" t="s">
        <v>222</v>
      </c>
      <c r="C38" s="1117" t="s">
        <v>235</v>
      </c>
      <c r="D38" s="1117" t="s">
        <v>224</v>
      </c>
      <c r="E38" s="927" t="str">
        <f>HYPERLINK("#10!J1","10")</f>
        <v>10</v>
      </c>
      <c r="F38" s="1116" t="str">
        <f>HYPERLINK("http://kaart.delfi.ee//?bookmark=ebd616e171f4882941c876d5ba118858","Voka staadion")</f>
        <v>Voka staadion</v>
      </c>
      <c r="G38" s="1117" t="s">
        <v>225</v>
      </c>
      <c r="H38" s="1118">
        <v>2</v>
      </c>
      <c r="I38" s="1119">
        <f>Reit!Y54</f>
        <v>20</v>
      </c>
      <c r="K38" s="297"/>
    </row>
    <row r="39" spans="1:11" x14ac:dyDescent="0.2">
      <c r="A39" s="1117" t="s">
        <v>636</v>
      </c>
      <c r="B39" s="1182" t="s">
        <v>222</v>
      </c>
      <c r="C39" s="1117" t="s">
        <v>320</v>
      </c>
      <c r="D39" s="1198" t="s">
        <v>228</v>
      </c>
      <c r="E39" s="927" t="str">
        <f>HYPERLINK("#11!J1","11")</f>
        <v>11</v>
      </c>
      <c r="F39" s="1120" t="str">
        <f>HYPERLINK("https://kaart.delfi.ee/?bookmark=521b80d6ceeefbe3e5d227267242b576","K-Järve spordihoone")</f>
        <v>K-Järve spordihoone</v>
      </c>
      <c r="G39" s="1121" t="s">
        <v>225</v>
      </c>
      <c r="H39" s="1118">
        <v>2</v>
      </c>
      <c r="I39" s="1119">
        <f>Reit!Z54</f>
        <v>20</v>
      </c>
      <c r="J39" s="228"/>
      <c r="K39" s="228"/>
    </row>
    <row r="40" spans="1:11" x14ac:dyDescent="0.2">
      <c r="A40" s="928" t="s">
        <v>67</v>
      </c>
      <c r="B40" s="929"/>
      <c r="C40" s="930"/>
      <c r="D40" s="930"/>
      <c r="E40" s="931"/>
      <c r="F40" s="930"/>
      <c r="G40" s="930"/>
      <c r="H40" s="932"/>
      <c r="I40" s="933"/>
      <c r="J40" s="228"/>
      <c r="K40" s="297"/>
    </row>
    <row r="41" spans="1:11" x14ac:dyDescent="0.2">
      <c r="A41" s="1123" t="s">
        <v>610</v>
      </c>
      <c r="B41" s="1183" t="s">
        <v>222</v>
      </c>
      <c r="C41" s="1184" t="s">
        <v>276</v>
      </c>
      <c r="D41" s="1184" t="s">
        <v>228</v>
      </c>
      <c r="E41" s="934" t="str">
        <f>HYPERLINK("#V9!G1","V9")</f>
        <v>V9</v>
      </c>
      <c r="F41" s="1122" t="str">
        <f>HYPERLINK("http://kaart.delfi.ee//?bookmark=ebd616e171f4882941c876d5ba118858","Voka staadion")</f>
        <v>Voka staadion</v>
      </c>
      <c r="G41" s="1123" t="s">
        <v>114</v>
      </c>
      <c r="H41" s="1124">
        <v>2</v>
      </c>
      <c r="I41" s="1125">
        <f>V!AD67</f>
        <v>30</v>
      </c>
      <c r="J41" s="228"/>
      <c r="K41" s="228"/>
    </row>
    <row r="42" spans="1:11" x14ac:dyDescent="0.2">
      <c r="A42" s="1123" t="s">
        <v>648</v>
      </c>
      <c r="B42" s="1183" t="s">
        <v>222</v>
      </c>
      <c r="C42" s="1184" t="s">
        <v>277</v>
      </c>
      <c r="D42" s="1184" t="s">
        <v>228</v>
      </c>
      <c r="E42" s="934" t="str">
        <f>HYPERLINK("#V10!o1","V10")</f>
        <v>V10</v>
      </c>
      <c r="F42" s="1122" t="str">
        <f>HYPERLINK("http://kaart.delfi.ee//?bookmark=ebd616e171f4882941c876d5ba118858","Voka staadion")</f>
        <v>Voka staadion</v>
      </c>
      <c r="G42" s="1123" t="s">
        <v>114</v>
      </c>
      <c r="H42" s="1124">
        <v>2</v>
      </c>
      <c r="I42" s="1125">
        <f>V!AE67</f>
        <v>22</v>
      </c>
      <c r="J42" s="228"/>
      <c r="K42" s="228"/>
    </row>
    <row r="43" spans="1:11" x14ac:dyDescent="0.2">
      <c r="A43" s="1158" t="s">
        <v>322</v>
      </c>
      <c r="B43" s="1159" t="s">
        <v>222</v>
      </c>
      <c r="C43" s="1158" t="s">
        <v>337</v>
      </c>
      <c r="D43" s="1158" t="s">
        <v>226</v>
      </c>
      <c r="E43" s="298" t="str">
        <f>HYPERLINK("#12!J1","12")</f>
        <v>12</v>
      </c>
      <c r="F43" s="1071" t="str">
        <f>HYPERLINK("https://kaart.delfi.ee/?bookmark=521b80d6ceeefbe3e5d227267242b576","K-Järve spordihoone")</f>
        <v>K-Järve spordihoone</v>
      </c>
      <c r="G43" s="1072" t="s">
        <v>225</v>
      </c>
      <c r="H43" s="1073">
        <v>2</v>
      </c>
      <c r="I43" s="1074">
        <f>Reit!AA54</f>
        <v>15</v>
      </c>
      <c r="J43" s="228"/>
      <c r="K43" s="228"/>
    </row>
    <row r="44" spans="1:11" hidden="1" x14ac:dyDescent="0.2">
      <c r="A44" s="1001" t="s">
        <v>249</v>
      </c>
      <c r="B44" s="1190" t="s">
        <v>222</v>
      </c>
      <c r="C44" s="1001" t="s">
        <v>238</v>
      </c>
      <c r="D44" s="1001" t="s">
        <v>226</v>
      </c>
      <c r="E44" s="1370" t="str">
        <f>HYPERLINK("#M4!I1","M4")</f>
        <v>M4</v>
      </c>
      <c r="F44" s="1371" t="str">
        <f>HYPERLINK("http://kaart.delfi.ee/?bookmark=96e8ef31375c7e6041cd302dca543f69","Mäetaguse staadion")</f>
        <v>Mäetaguse staadion</v>
      </c>
      <c r="G44" s="1372" t="s">
        <v>230</v>
      </c>
      <c r="H44" s="1100">
        <v>0</v>
      </c>
      <c r="I44" s="1101" t="e">
        <f>#REF!</f>
        <v>#REF!</v>
      </c>
      <c r="J44" s="228"/>
      <c r="K44" s="228"/>
    </row>
    <row r="45" spans="1:11" x14ac:dyDescent="0.2">
      <c r="A45" s="1373" t="s">
        <v>650</v>
      </c>
      <c r="B45" s="1185" t="s">
        <v>222</v>
      </c>
      <c r="C45" s="1060" t="s">
        <v>649</v>
      </c>
      <c r="D45" s="1153" t="s">
        <v>224</v>
      </c>
      <c r="E45" s="296" t="str">
        <f>HYPERLINK("#'V-Fin'!K1","V-Fin")</f>
        <v>V-Fin</v>
      </c>
      <c r="F45" s="1126" t="str">
        <f>HYPERLINK("http://kaart.delfi.ee//?bookmark=ebd616e171f4882941c876d5ba118858","Voka staadion")</f>
        <v>Voka staadion</v>
      </c>
      <c r="G45" s="1127" t="s">
        <v>114</v>
      </c>
      <c r="H45" s="1061">
        <v>2</v>
      </c>
      <c r="I45" s="1062">
        <f>COUNTIF('V-Fin'!B300:B331,"&gt;-")</f>
        <v>26</v>
      </c>
      <c r="J45" s="228"/>
      <c r="K45" s="228"/>
    </row>
    <row r="46" spans="1:11" s="295" customFormat="1" x14ac:dyDescent="0.2">
      <c r="A46" s="1374" t="s">
        <v>650</v>
      </c>
      <c r="B46" s="1186" t="s">
        <v>222</v>
      </c>
      <c r="C46" s="1187" t="s">
        <v>240</v>
      </c>
      <c r="D46" s="1199" t="s">
        <v>224</v>
      </c>
      <c r="E46" s="967" t="str">
        <f>HYPERLINK("#'V-F-PL'!AA1","V-F-PL")</f>
        <v>V-F-PL</v>
      </c>
      <c r="F46" s="1128" t="str">
        <f>HYPERLINK("http://kaart.delfi.ee//?bookmark=ebd616e171f4882941c876d5ba118858","Voka staadion")</f>
        <v>Voka staadion</v>
      </c>
      <c r="G46" s="1129" t="s">
        <v>114</v>
      </c>
      <c r="H46" s="1130" t="s">
        <v>173</v>
      </c>
      <c r="I46" s="1131">
        <v>20</v>
      </c>
      <c r="J46" s="297"/>
      <c r="K46" s="297"/>
    </row>
    <row r="47" spans="1:11" x14ac:dyDescent="0.2">
      <c r="A47" s="1369" t="s">
        <v>650</v>
      </c>
      <c r="B47" s="1188" t="s">
        <v>222</v>
      </c>
      <c r="C47" s="1189" t="s">
        <v>679</v>
      </c>
      <c r="D47" s="1200" t="s">
        <v>224</v>
      </c>
      <c r="E47" s="999" t="str">
        <f>HYPERLINK("#'V-F-AS'!q1","V-F-AS")</f>
        <v>V-F-AS</v>
      </c>
      <c r="F47" s="1132" t="str">
        <f>HYPERLINK("http://kaart.delfi.ee//?bookmark=ebd616e171f4882941c876d5ba118858","Voka staadion")</f>
        <v>Voka staadion</v>
      </c>
      <c r="G47" s="1133" t="s">
        <v>114</v>
      </c>
      <c r="H47" s="1134">
        <v>0</v>
      </c>
      <c r="I47" s="1135">
        <f>'V-F-AS'!I64</f>
        <v>56</v>
      </c>
      <c r="J47" s="228"/>
      <c r="K47" s="228"/>
    </row>
    <row r="48" spans="1:11" hidden="1" x14ac:dyDescent="0.2">
      <c r="A48" s="1001" t="s">
        <v>250</v>
      </c>
      <c r="B48" s="1190" t="s">
        <v>233</v>
      </c>
      <c r="C48" s="1001" t="s">
        <v>239</v>
      </c>
      <c r="D48" s="1001" t="s">
        <v>224</v>
      </c>
      <c r="E48" s="1000" t="str">
        <f>HYPERLINK("#M5!I1","M5")</f>
        <v>M5</v>
      </c>
      <c r="F48" s="234" t="str">
        <f>HYPERLINK("http://kaart.delfi.ee/?bookmark=96e8ef31375c7e6041cd302dca543f69","Mäetaguse staadion")</f>
        <v>Mäetaguse staadion</v>
      </c>
      <c r="G48" s="1001" t="s">
        <v>230</v>
      </c>
      <c r="H48" s="1002">
        <v>0</v>
      </c>
      <c r="I48" s="1003"/>
      <c r="J48" s="228"/>
      <c r="K48" s="228"/>
    </row>
    <row r="49" spans="1:11" s="295" customFormat="1" x14ac:dyDescent="0.2">
      <c r="A49" s="1137" t="s">
        <v>672</v>
      </c>
      <c r="B49" s="1191" t="s">
        <v>222</v>
      </c>
      <c r="C49" s="1192" t="s">
        <v>328</v>
      </c>
      <c r="D49" s="1201" t="s">
        <v>224</v>
      </c>
      <c r="E49" s="1006" t="str">
        <f>HYPERLINK("#'V-Extr'!G1","V-Extr")</f>
        <v>V-Extr</v>
      </c>
      <c r="F49" s="1136" t="str">
        <f>HYPERLINK("http://kaart.delfi.ee//?bookmark=ebd616e171f4882941c876d5ba118858","Voka staadion")</f>
        <v>Voka staadion</v>
      </c>
      <c r="G49" s="1137" t="s">
        <v>114</v>
      </c>
      <c r="H49" s="1138">
        <v>2</v>
      </c>
      <c r="I49" s="1139">
        <v>8</v>
      </c>
      <c r="J49" s="297"/>
      <c r="K49" s="297"/>
    </row>
    <row r="50" spans="1:11" x14ac:dyDescent="0.2">
      <c r="A50" s="1193" t="s">
        <v>678</v>
      </c>
      <c r="B50" s="1194" t="s">
        <v>222</v>
      </c>
      <c r="C50" s="1195" t="s">
        <v>320</v>
      </c>
      <c r="D50" s="1202" t="s">
        <v>224</v>
      </c>
      <c r="E50" s="1037" t="str">
        <f>HYPERLINK("#13!L1","13")</f>
        <v>13</v>
      </c>
      <c r="F50" s="1140" t="str">
        <f>HYPERLINK("https://kaart.delfi.ee/?bookmark=521b80d6ceeefbe3e5d227267242b576","K-Järve spordihoone")</f>
        <v>K-Järve spordihoone</v>
      </c>
      <c r="G50" s="1141" t="s">
        <v>225</v>
      </c>
      <c r="H50" s="1142">
        <v>2</v>
      </c>
      <c r="I50" s="1143">
        <f>Reit!AB54</f>
        <v>11</v>
      </c>
      <c r="J50" s="228"/>
      <c r="K50" s="228"/>
    </row>
    <row r="51" spans="1:11" x14ac:dyDescent="0.2">
      <c r="A51" s="928" t="s">
        <v>68</v>
      </c>
      <c r="B51" s="929"/>
      <c r="C51" s="930"/>
      <c r="D51" s="930"/>
      <c r="E51" s="931"/>
      <c r="F51" s="930"/>
      <c r="G51" s="930"/>
      <c r="H51" s="932"/>
      <c r="I51" s="933"/>
      <c r="J51" s="228"/>
      <c r="K51" s="228"/>
    </row>
    <row r="52" spans="1:11" x14ac:dyDescent="0.2">
      <c r="A52" s="1196" t="s">
        <v>311</v>
      </c>
      <c r="B52" s="1197" t="s">
        <v>222</v>
      </c>
      <c r="C52" s="1375" t="s">
        <v>241</v>
      </c>
      <c r="D52" s="1038" t="s">
        <v>224</v>
      </c>
      <c r="E52" s="1039" t="str">
        <f>HYPERLINK("#L!W1","L")</f>
        <v>L</v>
      </c>
      <c r="F52" s="1040" t="str">
        <f>HYPERLINK("https://kaart.delfi.ee/?bookmark=521b80d6ceeefbe3e5d227267242b576","K-Järve spordihoone")</f>
        <v>K-Järve spordihoone</v>
      </c>
      <c r="G52" s="1038" t="s">
        <v>225</v>
      </c>
      <c r="H52" s="1041">
        <v>0</v>
      </c>
      <c r="I52" s="1042">
        <v>20</v>
      </c>
      <c r="J52" s="228"/>
      <c r="K52" s="228"/>
    </row>
    <row r="53" spans="1:11" x14ac:dyDescent="0.2">
      <c r="A53" s="235"/>
      <c r="B53" s="236"/>
      <c r="C53" s="236"/>
      <c r="D53" s="236"/>
      <c r="E53" s="236"/>
      <c r="F53" s="236"/>
      <c r="G53" s="236"/>
      <c r="H53" s="236"/>
      <c r="I53" s="236"/>
      <c r="J53" s="228"/>
      <c r="K53" s="228"/>
    </row>
    <row r="54" spans="1:11" x14ac:dyDescent="0.2">
      <c r="A54" s="226" t="s">
        <v>242</v>
      </c>
    </row>
    <row r="55" spans="1:11" x14ac:dyDescent="0.2">
      <c r="A55" s="110" t="s">
        <v>336</v>
      </c>
    </row>
    <row r="56" spans="1:11" hidden="1" x14ac:dyDescent="0.2">
      <c r="A56" s="25" t="s">
        <v>243</v>
      </c>
      <c r="B56" s="237"/>
      <c r="C56" s="237"/>
      <c r="D56" s="237"/>
      <c r="E56" s="237"/>
      <c r="F56" s="237"/>
      <c r="G56" s="237"/>
      <c r="H56" s="228"/>
      <c r="I56" s="228"/>
    </row>
    <row r="57" spans="1:11" s="228" customFormat="1" x14ac:dyDescent="0.2">
      <c r="A57" s="26" t="s">
        <v>10</v>
      </c>
      <c r="B57" s="20"/>
      <c r="C57" s="20"/>
    </row>
    <row r="58" spans="1:11" s="297" customFormat="1" x14ac:dyDescent="0.2">
      <c r="A58" s="26" t="s">
        <v>339</v>
      </c>
      <c r="B58" s="20"/>
      <c r="C58" s="20"/>
      <c r="D58" s="20"/>
      <c r="E58" s="20"/>
      <c r="F58" s="20"/>
      <c r="G58" s="20"/>
      <c r="H58" s="20"/>
      <c r="I58" s="20"/>
    </row>
    <row r="59" spans="1:11" x14ac:dyDescent="0.2">
      <c r="A59" s="238" t="s">
        <v>244</v>
      </c>
      <c r="B59" s="239"/>
      <c r="C59" s="239"/>
      <c r="D59" s="228"/>
      <c r="E59" s="228"/>
      <c r="F59" s="228"/>
      <c r="G59" s="228"/>
      <c r="H59" s="240"/>
      <c r="I59" s="228"/>
    </row>
    <row r="60" spans="1:11" x14ac:dyDescent="0.2">
      <c r="A60" s="241" t="s">
        <v>8</v>
      </c>
    </row>
  </sheetData>
  <autoFilter ref="A3:H52"/>
  <conditionalFormatting sqref="I47:I52 I9:I13 I5:I6 I17:I34 I37:I45">
    <cfRule type="top10" dxfId="3480" priority="2429" stopIfTrue="1" rank="1"/>
  </conditionalFormatting>
  <pageMargins left="0.31496062992125984" right="0.31496062992125984" top="0.98425196850393704" bottom="0.39370078740157483" header="0.59055118110236227" footer="0"/>
  <pageSetup paperSize="9" fitToHeight="0" orientation="portrait" horizontalDpi="180" verticalDpi="180" r:id="rId1"/>
  <headerFooter>
    <oddHeader>&amp;R&amp;"Arial,Regular"&amp;9Page &amp;P of &amp;N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T126"/>
  <sheetViews>
    <sheetView showGridLines="0" showRowColHeaders="0" tabSelected="1" zoomScaleNormal="100" workbookViewId="0">
      <pane ySplit="3" topLeftCell="A4" activePane="bottomLeft" state="frozen"/>
      <selection activeCell="M42" sqref="M42"/>
      <selection pane="bottomLeft" activeCell="N1" sqref="N1"/>
    </sheetView>
  </sheetViews>
  <sheetFormatPr defaultRowHeight="12.75" x14ac:dyDescent="0.2"/>
  <cols>
    <col min="1" max="1" width="5.7109375" style="3" customWidth="1"/>
    <col min="2" max="2" width="3" style="3" bestFit="1" customWidth="1"/>
    <col min="3" max="3" width="8" style="3" customWidth="1"/>
    <col min="4" max="4" width="3" style="3" customWidth="1"/>
    <col min="5" max="5" width="10.42578125" style="7" customWidth="1"/>
    <col min="6" max="6" width="3" style="7" bestFit="1" customWidth="1"/>
    <col min="7" max="7" width="14.28515625" style="3" customWidth="1"/>
    <col min="8" max="8" width="3" style="3" bestFit="1" customWidth="1"/>
    <col min="9" max="9" width="1.7109375" style="3" customWidth="1"/>
    <col min="10" max="10" width="3" style="3" bestFit="1" customWidth="1"/>
    <col min="11" max="11" width="19.7109375" style="3" customWidth="1"/>
    <col min="12" max="12" width="3" style="3" bestFit="1" customWidth="1"/>
    <col min="13" max="13" width="19.42578125" style="3" customWidth="1"/>
    <col min="14" max="14" width="3" style="7" customWidth="1"/>
    <col min="15" max="15" width="0.85546875" style="3" customWidth="1"/>
    <col min="16" max="16384" width="9.140625" style="3"/>
  </cols>
  <sheetData>
    <row r="1" spans="1:17" x14ac:dyDescent="0.2">
      <c r="B1" s="1" t="s">
        <v>764</v>
      </c>
      <c r="D1" s="2"/>
      <c r="E1" s="1"/>
      <c r="F1" s="1"/>
      <c r="G1" s="2"/>
      <c r="H1" s="2"/>
      <c r="I1" s="2"/>
      <c r="J1" s="54" t="str">
        <f>HYPERLINK("","")</f>
        <v/>
      </c>
      <c r="K1" s="22"/>
      <c r="L1" s="1007" t="s">
        <v>671</v>
      </c>
      <c r="N1" s="9"/>
      <c r="O1" s="22"/>
    </row>
    <row r="2" spans="1:17" ht="13.5" thickBot="1" x14ac:dyDescent="0.25">
      <c r="A2" s="2"/>
      <c r="B2" s="2"/>
      <c r="C2" s="2"/>
      <c r="D2" s="2"/>
      <c r="E2" s="2"/>
      <c r="F2" s="2"/>
      <c r="G2" s="2"/>
      <c r="H2" s="2"/>
      <c r="I2" s="2"/>
      <c r="J2" s="2"/>
      <c r="K2" s="22"/>
      <c r="L2" s="9"/>
      <c r="M2" s="9"/>
      <c r="N2" s="50"/>
    </row>
    <row r="3" spans="1:17" ht="13.5" thickBot="1" x14ac:dyDescent="0.25">
      <c r="A3" s="340" t="s">
        <v>0</v>
      </c>
      <c r="B3" s="341"/>
      <c r="C3" s="340" t="s">
        <v>1</v>
      </c>
      <c r="D3" s="341"/>
      <c r="E3" s="340" t="s">
        <v>2</v>
      </c>
      <c r="F3" s="341"/>
      <c r="G3" s="340" t="s">
        <v>3</v>
      </c>
      <c r="H3" s="341"/>
      <c r="I3" s="340" t="s">
        <v>4</v>
      </c>
      <c r="J3" s="341"/>
      <c r="K3" s="340" t="s">
        <v>5</v>
      </c>
      <c r="L3" s="341"/>
      <c r="M3" s="340" t="s">
        <v>6</v>
      </c>
      <c r="N3" s="342"/>
      <c r="P3" s="43"/>
    </row>
    <row r="4" spans="1:17" s="50" customFormat="1" x14ac:dyDescent="0.2">
      <c r="A4" s="294" t="s">
        <v>69</v>
      </c>
      <c r="B4" s="337"/>
      <c r="C4" s="338"/>
      <c r="D4" s="52"/>
      <c r="E4" s="52"/>
      <c r="F4" s="52"/>
      <c r="G4" s="52"/>
      <c r="H4" s="52"/>
      <c r="I4" s="52"/>
      <c r="J4" s="52"/>
      <c r="K4" s="1263" t="str">
        <f>HYPERLINK("http://www.petanque.ee/index.php?id=103589&amp;cid=559","14. Tartu Vaim, ")</f>
        <v xml:space="preserve">14. Tartu Vaim, </v>
      </c>
      <c r="L4" s="305">
        <v>28</v>
      </c>
      <c r="M4" s="1268" t="str">
        <f>HYPERLINK("https://www.facebook.com/ivpetanque","Korbi karikas 2. etapp, ")</f>
        <v xml:space="preserve">Korbi karikas 2. etapp, </v>
      </c>
      <c r="N4" s="349">
        <v>29</v>
      </c>
    </row>
    <row r="5" spans="1:17" s="50" customFormat="1" x14ac:dyDescent="0.2">
      <c r="A5" s="52"/>
      <c r="B5" s="52"/>
      <c r="C5" s="52"/>
      <c r="D5" s="52"/>
      <c r="E5" s="52"/>
      <c r="F5" s="52"/>
      <c r="G5" s="52"/>
      <c r="H5" s="52"/>
      <c r="I5" s="52"/>
      <c r="J5" s="52"/>
      <c r="K5" s="1264" t="s">
        <v>70</v>
      </c>
      <c r="L5" s="468" t="str">
        <f>HYPERLINK("https://sites.google.com/site/tartupetank/tartu-vaim","inf")</f>
        <v>inf</v>
      </c>
      <c r="M5" s="1269" t="s">
        <v>351</v>
      </c>
      <c r="N5" s="489"/>
    </row>
    <row r="6" spans="1:17" s="7" customFormat="1" ht="13.5" thickBot="1" x14ac:dyDescent="0.25">
      <c r="A6" s="294" t="s">
        <v>63</v>
      </c>
      <c r="B6" s="337"/>
      <c r="C6" s="338"/>
      <c r="D6" s="5"/>
      <c r="E6" s="5"/>
      <c r="F6" s="5"/>
      <c r="G6" s="5"/>
      <c r="H6" s="5"/>
      <c r="I6" s="6"/>
      <c r="J6" s="6"/>
      <c r="K6" s="1263" t="str">
        <f>HYPERLINK("https://kaart.delfi.ee/?bookmark=d9da63566809feae32e6ca75683e42cd","Tartu, Lossi 25")</f>
        <v>Tartu, Lossi 25</v>
      </c>
      <c r="L6" s="490" t="str">
        <f>HYPERLINK("http://www.petanque.ee/pcalendar/3a0772443a0739141292a5429b952fe6/99e5af987dbcfb3a04e44e170eed6815.docx","juh")</f>
        <v>juh</v>
      </c>
      <c r="M6" s="1270" t="str">
        <f>HYPERLINK("https://kaart.delfi.ee/?bookmark=521b80d6ceeefbe3e5d227267242b576","K-Järve Spordihoone")</f>
        <v>K-Järve Spordihoone</v>
      </c>
      <c r="N6" s="489"/>
      <c r="O6" s="3"/>
      <c r="P6" s="3"/>
      <c r="Q6" s="3"/>
    </row>
    <row r="7" spans="1:17" s="7" customFormat="1" ht="13.5" thickTop="1" x14ac:dyDescent="0.2">
      <c r="A7" s="343"/>
      <c r="B7" s="463">
        <v>30</v>
      </c>
      <c r="C7" s="1258" t="str">
        <f>HYPERLINK("#A!K1","Välis-")</f>
        <v>Välis-</v>
      </c>
      <c r="D7" s="345">
        <v>1</v>
      </c>
      <c r="E7" s="379"/>
      <c r="F7" s="347">
        <v>2</v>
      </c>
      <c r="G7" s="1229" t="str">
        <f>HYPERLINK("#1!G1","K-Järve 17. KV ")</f>
        <v xml:space="preserve">K-Järve 17. KV </v>
      </c>
      <c r="H7" s="347">
        <v>3</v>
      </c>
      <c r="I7" s="357"/>
      <c r="J7" s="347">
        <v>4</v>
      </c>
      <c r="K7" s="1265" t="str">
        <f>HYPERLINK("http://www.petanque.ee/index.php?id=103589&amp;cid=551","14. Klubide karikas, ")</f>
        <v xml:space="preserve">14. Klubide karikas, </v>
      </c>
      <c r="L7" s="491">
        <v>5</v>
      </c>
      <c r="M7" s="1265" t="str">
        <f>HYPERLINK("http://www.petanque.ee/index.php?id=103589&amp;cid=552","14. Klubide karikas, ")</f>
        <v xml:space="preserve">14. Klubide karikas, </v>
      </c>
      <c r="N7" s="492">
        <v>6</v>
      </c>
      <c r="O7" s="3"/>
      <c r="P7" s="3"/>
      <c r="Q7" s="3"/>
    </row>
    <row r="8" spans="1:17" s="10" customFormat="1" x14ac:dyDescent="0.2">
      <c r="A8" s="289"/>
      <c r="B8" s="464"/>
      <c r="C8" s="1259" t="s">
        <v>426</v>
      </c>
      <c r="D8" s="594"/>
      <c r="E8" s="380"/>
      <c r="F8" s="52"/>
      <c r="G8" s="1240" t="s">
        <v>307</v>
      </c>
      <c r="H8" s="310"/>
      <c r="I8" s="289"/>
      <c r="J8" s="52"/>
      <c r="K8" s="1266" t="s">
        <v>333</v>
      </c>
      <c r="L8" s="52"/>
      <c r="M8" s="1266" t="s">
        <v>333</v>
      </c>
      <c r="N8" s="348"/>
      <c r="O8" s="282" t="s">
        <v>173</v>
      </c>
      <c r="P8" s="22"/>
    </row>
    <row r="9" spans="1:17" s="10" customFormat="1" x14ac:dyDescent="0.2">
      <c r="A9" s="289"/>
      <c r="B9" s="464"/>
      <c r="C9" s="1260" t="s">
        <v>425</v>
      </c>
      <c r="D9" s="303"/>
      <c r="E9" s="380"/>
      <c r="F9" s="52"/>
      <c r="G9" s="1213" t="str">
        <f>HYPERLINK("https://kaart.delfi.ee/?bookmark=521b80d6ceeefbe3e5d227267242b576","K-Järve")</f>
        <v>K-Järve</v>
      </c>
      <c r="H9" s="310"/>
      <c r="I9" s="289"/>
      <c r="J9" s="52"/>
      <c r="K9" s="1266" t="s">
        <v>334</v>
      </c>
      <c r="L9" s="304" t="str">
        <f>HYPERLINK("http://www.petanque.ee/juhendid/klubide-karikas-2018/","juh")</f>
        <v>juh</v>
      </c>
      <c r="M9" s="1266" t="s">
        <v>334</v>
      </c>
      <c r="N9" s="609" t="str">
        <f>HYPERLINK("https://www.facebook.com/eestipetank/posts/2120709001290711","fb")</f>
        <v>fb</v>
      </c>
      <c r="O9" s="282"/>
      <c r="P9" s="22"/>
    </row>
    <row r="10" spans="1:17" s="10" customFormat="1" x14ac:dyDescent="0.2">
      <c r="A10" s="289"/>
      <c r="B10" s="464"/>
      <c r="C10" s="1261" t="str">
        <f>HYPERLINK("https://kaart.delfi.ee//?bookmark=220f592074a34de823928c6a440074a9","Voka petangihall")</f>
        <v>Voka petangihall</v>
      </c>
      <c r="D10" s="623"/>
      <c r="E10" s="380"/>
      <c r="F10" s="52"/>
      <c r="G10" s="377"/>
      <c r="H10" s="310"/>
      <c r="I10" s="374"/>
      <c r="J10" s="322"/>
      <c r="K10" s="1267" t="str">
        <f>HYPERLINK("https://kaart.delfi.ee//?bookmark=ebd616e171f4882941c876d5ba118858","Voka staadion")</f>
        <v>Voka staadion</v>
      </c>
      <c r="L10" s="608" t="str">
        <f>HYPERLINK("https://sport.err.ee/829345/klubide-karika-voitis-saku-pk","fot")</f>
        <v>fot</v>
      </c>
      <c r="M10" s="1267" t="str">
        <f>HYPERLINK("https://kaart.delfi.ee//?bookmark=ebd616e171f4882941c876d5ba118858","Voka staadion")</f>
        <v>Voka staadion</v>
      </c>
      <c r="N10" s="610" t="str">
        <f>HYPERLINK("https://drive.google.com/drive/folders/1fnfmv-nqmGVioRhGATMAYfdkyKWULbip","fot")</f>
        <v>fot</v>
      </c>
      <c r="O10" s="108"/>
      <c r="P10" s="22"/>
      <c r="Q10" s="22"/>
    </row>
    <row r="11" spans="1:17" s="10" customFormat="1" x14ac:dyDescent="0.2">
      <c r="A11" s="289"/>
      <c r="B11" s="464"/>
      <c r="C11" s="1262" t="str">
        <f>HYPERLINK("http://www.petanque.ee/index.php?id=103768&amp;cid=620","Kohtunike koolitus")</f>
        <v>Kohtunike koolitus</v>
      </c>
      <c r="D11" s="286"/>
      <c r="E11" s="380"/>
      <c r="F11" s="52"/>
      <c r="G11" s="377"/>
      <c r="H11" s="310"/>
      <c r="I11" s="375" t="s">
        <v>193</v>
      </c>
      <c r="J11" s="336"/>
      <c r="K11" s="365" t="s">
        <v>194</v>
      </c>
      <c r="L11" s="336"/>
      <c r="M11" s="365" t="s">
        <v>192</v>
      </c>
      <c r="N11" s="469" t="str">
        <f>HYPERLINK("https://www.facebook.com/events/346487295841419/","inf")</f>
        <v>inf</v>
      </c>
      <c r="O11" s="108"/>
      <c r="P11" s="22"/>
    </row>
    <row r="12" spans="1:17" ht="13.5" customHeight="1" thickBot="1" x14ac:dyDescent="0.25">
      <c r="A12" s="451"/>
      <c r="B12" s="454"/>
      <c r="C12" s="418" t="str">
        <f>HYPERLINK("https://kaart.delfi.ee/?bookmark=0807568cf7d8a03cedbb545921254497","Tallinn")</f>
        <v>Tallinn</v>
      </c>
      <c r="D12" s="624" t="str">
        <f>HYPERLINK("http://www.petanque.ee/kohtunikud","kohtunikud 2018")</f>
        <v>kohtunikud 2018</v>
      </c>
      <c r="E12" s="625"/>
      <c r="F12" s="353"/>
      <c r="G12" s="378"/>
      <c r="H12" s="359"/>
      <c r="I12" s="366" t="s">
        <v>191</v>
      </c>
      <c r="J12" s="353"/>
      <c r="K12" s="366" t="s">
        <v>191</v>
      </c>
      <c r="L12" s="353"/>
      <c r="M12" s="366" t="s">
        <v>191</v>
      </c>
      <c r="N12" s="360" t="str">
        <f>HYPERLINK("http://petanque.org.ua/services/calendar/","kal")</f>
        <v>kal</v>
      </c>
      <c r="O12" s="107"/>
      <c r="Q12" s="10"/>
    </row>
    <row r="13" spans="1:17" s="7" customFormat="1" ht="13.5" thickTop="1" x14ac:dyDescent="0.2">
      <c r="A13" s="289"/>
      <c r="B13" s="305">
        <v>7</v>
      </c>
      <c r="C13" s="343"/>
      <c r="D13" s="347">
        <v>8</v>
      </c>
      <c r="E13" s="1203" t="str">
        <f>HYPERLINK("#V1!G1","Voka 5. KV")</f>
        <v>Voka 5. KV</v>
      </c>
      <c r="F13" s="347">
        <v>9</v>
      </c>
      <c r="G13" s="472" t="str">
        <f>HYPERLINK("https://www.facebook.com/eestipetank/photos/a.125932667435031.17667.125902000771431/2081825495179062/?type=3","29.Baltique Duppeli,")</f>
        <v>29.Baltique Duppeli,</v>
      </c>
      <c r="H13" s="347">
        <v>10</v>
      </c>
      <c r="I13" s="357"/>
      <c r="J13" s="347">
        <v>11</v>
      </c>
      <c r="K13" s="367" t="str">
        <f>HYPERLINK("http://www.petanque.ee/index.php?id=103589&amp;cid=564","EM,MM katsevõistlused, ")</f>
        <v xml:space="preserve">EM,MM katsevõistlused, </v>
      </c>
      <c r="L13" s="347">
        <v>12</v>
      </c>
      <c r="M13" s="367" t="str">
        <f>HYPERLINK("http://www.petanque.ee/index.php?id=103589&amp;cid=565","EM,MM katsevõistlused, ")</f>
        <v xml:space="preserve">EM,MM katsevõistlused, </v>
      </c>
      <c r="N13" s="344">
        <v>13</v>
      </c>
      <c r="O13" s="3"/>
      <c r="P13" s="3"/>
      <c r="Q13" s="10"/>
    </row>
    <row r="14" spans="1:17" s="7" customFormat="1" x14ac:dyDescent="0.2">
      <c r="A14" s="289"/>
      <c r="B14" s="52"/>
      <c r="C14" s="482" t="s">
        <v>356</v>
      </c>
      <c r="D14" s="52"/>
      <c r="E14" s="1208" t="s">
        <v>297</v>
      </c>
      <c r="F14" s="189"/>
      <c r="G14" s="368" t="s">
        <v>199</v>
      </c>
      <c r="H14" s="304" t="str">
        <f>HYPERLINK("http://petanque.fi/allakka/","")</f>
        <v/>
      </c>
      <c r="I14" s="289"/>
      <c r="J14" s="284"/>
      <c r="K14" s="371" t="s">
        <v>198</v>
      </c>
      <c r="L14" s="284"/>
      <c r="M14" s="371" t="s">
        <v>201</v>
      </c>
      <c r="N14" s="286"/>
      <c r="O14" s="3"/>
      <c r="P14" s="3"/>
      <c r="Q14" s="10"/>
    </row>
    <row r="15" spans="1:17" ht="13.5" thickBot="1" x14ac:dyDescent="0.25">
      <c r="A15" s="351"/>
      <c r="B15" s="362"/>
      <c r="C15" s="493" t="s">
        <v>352</v>
      </c>
      <c r="D15" s="362"/>
      <c r="E15" s="1209" t="str">
        <f>HYPERLINK("https://kaart.delfi.ee//?bookmark=ebd616e171f4882941c876d5ba118858","Voka")</f>
        <v>Voka</v>
      </c>
      <c r="F15" s="370"/>
      <c r="G15" s="413" t="str">
        <f>HYPERLINK("https://www.google.fi/maps/place/Pohjoinen+Hesperiankatu+24,+00260+Helsinki,+Soome/@60.1769272,24.9181523,17z/data=!4m5!3m4!1s0x46920a3011cda835:0x7443e5f2b27974f2!8m2!3d60.1769272!4d24.920341","Helsingi (Soome)")</f>
        <v>Helsingi (Soome)</v>
      </c>
      <c r="H15" s="471" t="str">
        <f>HYPERLINK("http://pet.pp.fi/temp/kilpailukutsut/2018/baltique_duppeli_2018.pdf","inf")</f>
        <v>inf</v>
      </c>
      <c r="I15" s="351"/>
      <c r="J15" s="353"/>
      <c r="K15" s="1401" t="str">
        <f>HYPERLINK("https://kaart.delfi.ee/?bookmark=78de0fb2613cdaa764ec35efb54e0b69","Saku, Teaduse 2")</f>
        <v>Saku, Teaduse 2</v>
      </c>
      <c r="L15" s="353"/>
      <c r="M15" s="1271" t="s">
        <v>295</v>
      </c>
      <c r="N15" s="356"/>
      <c r="Q15" s="10"/>
    </row>
    <row r="16" spans="1:17" s="7" customFormat="1" x14ac:dyDescent="0.2">
      <c r="A16" s="357"/>
      <c r="B16" s="347">
        <v>14</v>
      </c>
      <c r="C16" s="1255" t="str">
        <f>HYPERLINK("http://petanque.planet.ee/kundapetank/?TABLOO","Kunda ")</f>
        <v xml:space="preserve">Kunda </v>
      </c>
      <c r="D16" s="347">
        <v>15</v>
      </c>
      <c r="E16" s="357"/>
      <c r="F16" s="347">
        <v>16</v>
      </c>
      <c r="G16" s="1229" t="str">
        <f>HYPERLINK("#2!G1","K-Järve 17. KV ")</f>
        <v xml:space="preserve">K-Järve 17. KV </v>
      </c>
      <c r="H16" s="347">
        <v>17</v>
      </c>
      <c r="I16" s="357"/>
      <c r="J16" s="347">
        <v>18</v>
      </c>
      <c r="K16" s="372" t="s">
        <v>521</v>
      </c>
      <c r="L16" s="347">
        <v>19</v>
      </c>
      <c r="M16" s="343"/>
      <c r="N16" s="363">
        <v>20</v>
      </c>
      <c r="O16" s="3"/>
      <c r="P16" s="49"/>
      <c r="Q16" s="10"/>
    </row>
    <row r="17" spans="1:20" s="51" customFormat="1" x14ac:dyDescent="0.2">
      <c r="A17" s="289"/>
      <c r="B17" s="52"/>
      <c r="C17" s="1256" t="s">
        <v>477</v>
      </c>
      <c r="D17" s="620" t="str">
        <f>HYPERLINK("http://petanque.planet.ee/kundapetank/downloads/TulePetangile2.pdf","inf")</f>
        <v>inf</v>
      </c>
      <c r="E17" s="482" t="s">
        <v>350</v>
      </c>
      <c r="F17" s="52"/>
      <c r="G17" s="1240" t="s">
        <v>298</v>
      </c>
      <c r="H17" s="310"/>
      <c r="I17" s="289"/>
      <c r="J17" s="52"/>
      <c r="K17" s="369" t="s">
        <v>198</v>
      </c>
      <c r="L17" s="364"/>
      <c r="M17" s="106"/>
      <c r="N17" s="348"/>
      <c r="O17" s="50"/>
      <c r="P17" s="49"/>
      <c r="Q17" s="50"/>
    </row>
    <row r="18" spans="1:20" s="7" customFormat="1" ht="13.5" thickBot="1" x14ac:dyDescent="0.25">
      <c r="A18" s="351"/>
      <c r="B18" s="353"/>
      <c r="C18" s="1257" t="str">
        <f>HYPERLINK("https://kaart.delfi.ee//?bookmark=1e4391cd97659156890daf3e7410479f","Kunda, Jaama 12")</f>
        <v>Kunda, Jaama 12</v>
      </c>
      <c r="D18" s="619"/>
      <c r="E18" s="351"/>
      <c r="F18" s="353"/>
      <c r="G18" s="1254" t="str">
        <f>HYPERLINK("https://kaart.delfi.ee/?bookmark=521b80d6ceeefbe3e5d227267242b576","K-Järve")</f>
        <v>K-Järve</v>
      </c>
      <c r="H18" s="359"/>
      <c r="I18" s="351"/>
      <c r="J18" s="353"/>
      <c r="K18" s="373" t="str">
        <f>HYPERLINK("http://petanque.lv/events/270/baltic-cup-2018/","Šiauliai (Leedu)")</f>
        <v>Šiauliai (Leedu)</v>
      </c>
      <c r="L18" s="353"/>
      <c r="M18" s="351"/>
      <c r="N18" s="356"/>
      <c r="O18" s="3"/>
      <c r="P18" s="3"/>
      <c r="Q18" s="3"/>
    </row>
    <row r="19" spans="1:20" s="7" customFormat="1" x14ac:dyDescent="0.2">
      <c r="A19" s="357"/>
      <c r="B19" s="347">
        <v>21</v>
      </c>
      <c r="C19" s="357"/>
      <c r="D19" s="347">
        <v>22</v>
      </c>
      <c r="E19" s="1203" t="str">
        <f>HYPERLINK("#V2!G1","Voka 5. KV")</f>
        <v>Voka 5. KV</v>
      </c>
      <c r="F19" s="347">
        <v>23</v>
      </c>
      <c r="G19" s="343"/>
      <c r="H19" s="347">
        <v>24</v>
      </c>
      <c r="I19" s="343"/>
      <c r="J19" s="347">
        <v>25</v>
      </c>
      <c r="K19" s="367" t="str">
        <f>HYPERLINK("http://www.petanque.ee/index.php?id=103589&amp;cid=584","3. Saku Open, ")</f>
        <v xml:space="preserve">3. Saku Open, </v>
      </c>
      <c r="L19" s="347">
        <v>26</v>
      </c>
      <c r="M19" s="367" t="str">
        <f>HYPERLINK("http://www.petanque.ee/index.php?id=103589&amp;cid=585","3. Saku Open, ")</f>
        <v xml:space="preserve">3. Saku Open, </v>
      </c>
      <c r="N19" s="344">
        <v>27</v>
      </c>
      <c r="O19" s="3"/>
      <c r="P19" s="49"/>
      <c r="Q19" s="3"/>
    </row>
    <row r="20" spans="1:20" s="51" customFormat="1" x14ac:dyDescent="0.2">
      <c r="A20" s="289"/>
      <c r="B20" s="52"/>
      <c r="C20" s="289"/>
      <c r="D20" s="52"/>
      <c r="E20" s="1208" t="s">
        <v>298</v>
      </c>
      <c r="F20" s="189"/>
      <c r="G20" s="376"/>
      <c r="H20" s="284"/>
      <c r="I20" s="376"/>
      <c r="J20" s="52"/>
      <c r="K20" s="371" t="s">
        <v>198</v>
      </c>
      <c r="L20" s="52"/>
      <c r="M20" s="369" t="s">
        <v>199</v>
      </c>
      <c r="N20" s="350" t="str">
        <f>HYPERLINK("https://www.facebook.com/events/179930862760334/","inf")</f>
        <v>inf</v>
      </c>
      <c r="O20" s="50"/>
      <c r="P20" s="50"/>
      <c r="Q20" s="50"/>
    </row>
    <row r="21" spans="1:20" ht="13.5" thickBot="1" x14ac:dyDescent="0.25">
      <c r="A21" s="351"/>
      <c r="B21" s="353"/>
      <c r="C21" s="351"/>
      <c r="D21" s="362"/>
      <c r="E21" s="1209" t="str">
        <f>HYPERLINK("https://kaart.delfi.ee//?bookmark=ebd616e171f4882941c876d5ba118858","Voka")</f>
        <v>Voka</v>
      </c>
      <c r="F21" s="370"/>
      <c r="G21" s="351"/>
      <c r="H21" s="355"/>
      <c r="I21" s="351"/>
      <c r="J21" s="353"/>
      <c r="K21" s="1227" t="str">
        <f>HYPERLINK("https://kaart.delfi.ee//?bookmark=6e5907b77a1b1d76882ff264066d1116","Saku, Tallinna mnt 2")</f>
        <v>Saku, Tallinna mnt 2</v>
      </c>
      <c r="L21" s="353"/>
      <c r="M21" s="1227" t="str">
        <f>HYPERLINK("https://kaart.delfi.ee//?bookmark=6e5907b77a1b1d76882ff264066d1116","Saku, Tallinna mnt 2")</f>
        <v>Saku, Tallinna mnt 2</v>
      </c>
      <c r="N21" s="356"/>
    </row>
    <row r="22" spans="1:20" ht="13.5" thickBot="1" x14ac:dyDescent="0.25">
      <c r="A22" s="357"/>
      <c r="B22" s="347">
        <v>28</v>
      </c>
      <c r="C22" s="1255" t="str">
        <f>HYPERLINK("http://petanque.planet.ee/kundapetank/","Kunda ")</f>
        <v xml:space="preserve">Kunda </v>
      </c>
      <c r="D22" s="347">
        <v>29</v>
      </c>
      <c r="E22" s="357"/>
      <c r="F22" s="347">
        <v>30</v>
      </c>
      <c r="G22" s="1229" t="str">
        <f>HYPERLINK("#3!G1","K-Järve 17. KV ")</f>
        <v xml:space="preserve">K-Järve 17. KV </v>
      </c>
      <c r="H22" s="347">
        <v>31</v>
      </c>
      <c r="I22" s="381"/>
      <c r="J22" s="6"/>
      <c r="K22" s="284"/>
      <c r="L22" s="6"/>
      <c r="M22" s="284"/>
      <c r="N22" s="6"/>
    </row>
    <row r="23" spans="1:20" s="7" customFormat="1" x14ac:dyDescent="0.2">
      <c r="A23" s="289"/>
      <c r="B23" s="284"/>
      <c r="C23" s="1256" t="s">
        <v>477</v>
      </c>
      <c r="D23" s="618"/>
      <c r="E23" s="482" t="s">
        <v>354</v>
      </c>
      <c r="F23" s="284"/>
      <c r="G23" s="1240" t="s">
        <v>308</v>
      </c>
      <c r="H23" s="480"/>
      <c r="I23" s="381"/>
      <c r="J23" s="347">
        <v>1</v>
      </c>
      <c r="K23" s="343" t="str">
        <f>HYPERLINK("https://webzone.ee/petank/index-esl.html","ESL individuaal-")</f>
        <v>ESL individuaal-</v>
      </c>
      <c r="L23" s="347">
        <v>2</v>
      </c>
      <c r="M23" s="343" t="str">
        <f>HYPERLINK("http://www.joud.ee/est/g79s4447","9. EMSL Jõud MV, ")</f>
        <v xml:space="preserve">9. EMSL Jõud MV, </v>
      </c>
      <c r="N23" s="344">
        <v>3</v>
      </c>
      <c r="O23" s="3"/>
      <c r="P23" s="283"/>
      <c r="Q23" s="3"/>
    </row>
    <row r="24" spans="1:20" s="51" customFormat="1" ht="13.5" thickBot="1" x14ac:dyDescent="0.25">
      <c r="A24" s="351"/>
      <c r="B24" s="353"/>
      <c r="C24" s="1257" t="str">
        <f>HYPERLINK("https://kaart.delfi.ee//?bookmark=cecd6c519c98660f54f1f9c124edec8b","Kunda staadion")</f>
        <v>Kunda staadion</v>
      </c>
      <c r="D24" s="619"/>
      <c r="E24" s="494" t="s">
        <v>355</v>
      </c>
      <c r="F24" s="353"/>
      <c r="G24" s="1254" t="str">
        <f>HYPERLINK("https://kaart.delfi.ee/?bookmark=521b80d6ceeefbe3e5d227267242b576","K-Järve")</f>
        <v>K-Järve</v>
      </c>
      <c r="H24" s="481"/>
      <c r="I24" s="382"/>
      <c r="J24" s="52"/>
      <c r="K24" s="289" t="s">
        <v>29</v>
      </c>
      <c r="L24" s="284"/>
      <c r="M24" s="404" t="s">
        <v>329</v>
      </c>
      <c r="N24" s="286"/>
      <c r="O24" s="50"/>
      <c r="P24" s="50"/>
      <c r="Q24" s="50"/>
    </row>
    <row r="25" spans="1:20" s="285" customFormat="1" x14ac:dyDescent="0.2">
      <c r="A25" s="294" t="s">
        <v>64</v>
      </c>
      <c r="B25" s="337"/>
      <c r="C25" s="338"/>
      <c r="D25" s="284"/>
      <c r="E25" s="284"/>
      <c r="F25" s="284"/>
      <c r="G25" s="287"/>
      <c r="H25" s="284"/>
      <c r="I25" s="382"/>
      <c r="J25" s="52"/>
      <c r="K25" s="289" t="s">
        <v>30</v>
      </c>
      <c r="L25" s="284"/>
      <c r="M25" s="404" t="s">
        <v>330</v>
      </c>
      <c r="N25" s="286"/>
      <c r="O25" s="283"/>
      <c r="P25" s="283"/>
      <c r="Q25" s="283"/>
    </row>
    <row r="26" spans="1:20" ht="13.5" thickBot="1" x14ac:dyDescent="0.25">
      <c r="E26" s="3"/>
      <c r="F26" s="3"/>
      <c r="H26" s="107"/>
      <c r="I26" s="392"/>
      <c r="J26" s="353"/>
      <c r="K26" s="395" t="str">
        <f>HYPERLINK("https://kaart.delfi.ee//?bookmark=ebd616e171f4882941c876d5ba118858","Voka staadion")</f>
        <v>Voka staadion</v>
      </c>
      <c r="L26" s="488" t="str">
        <f>HYPERLINK("http://esvl.ee/uus/wp-content/uploads/2018/05/esl-2018-juhend.pdf","juh")</f>
        <v>juh</v>
      </c>
      <c r="M26" s="395" t="str">
        <f>HYPERLINK("https://kaart.delfi.ee//?bookmark=ebd616e171f4882941c876d5ba118858","Voka staadion")</f>
        <v>Voka staadion</v>
      </c>
      <c r="N26" s="488" t="str">
        <f>HYPERLINK("http://www.joud.ee/est/g78s4426","juh")</f>
        <v>juh</v>
      </c>
      <c r="O26" s="43"/>
      <c r="P26" s="43"/>
      <c r="Q26" s="43"/>
      <c r="R26" s="43"/>
      <c r="S26" s="43"/>
      <c r="T26" s="43"/>
    </row>
    <row r="27" spans="1:20" s="7" customFormat="1" x14ac:dyDescent="0.2">
      <c r="A27" s="357"/>
      <c r="B27" s="347">
        <v>4</v>
      </c>
      <c r="C27" s="357"/>
      <c r="D27" s="347">
        <v>5</v>
      </c>
      <c r="E27" s="1203" t="str">
        <f>HYPERLINK("#V3!J1","Voka 5. KV")</f>
        <v>Voka 5. KV</v>
      </c>
      <c r="F27" s="347">
        <v>6</v>
      </c>
      <c r="G27" s="343"/>
      <c r="H27" s="347">
        <v>7</v>
      </c>
      <c r="I27" s="357"/>
      <c r="J27" s="305">
        <v>8</v>
      </c>
      <c r="K27" s="1210" t="str">
        <f>HYPERLINK("http://www.petanque.ee/index.php?id=103589&amp;cid=566","21. Eesti MV, ")</f>
        <v xml:space="preserve">21. Eesti MV, </v>
      </c>
      <c r="L27" s="349">
        <v>9</v>
      </c>
      <c r="M27" s="1252" t="str">
        <f>HYPERLINK("http://www.petanque.ee/index.php?id=103589&amp;cid=567","EPKL reiting,")</f>
        <v>EPKL reiting,</v>
      </c>
      <c r="N27" s="349">
        <v>10</v>
      </c>
      <c r="O27" s="43"/>
      <c r="Q27" s="43"/>
      <c r="R27" s="49"/>
      <c r="S27" s="43"/>
      <c r="T27" s="43"/>
    </row>
    <row r="28" spans="1:20" s="7" customFormat="1" x14ac:dyDescent="0.2">
      <c r="A28" s="289"/>
      <c r="B28" s="52"/>
      <c r="C28" s="289"/>
      <c r="D28" s="52"/>
      <c r="E28" s="1208" t="s">
        <v>299</v>
      </c>
      <c r="F28" s="325"/>
      <c r="G28" s="380"/>
      <c r="H28" s="52"/>
      <c r="I28" s="289"/>
      <c r="J28" s="52"/>
      <c r="K28" s="1215" t="s">
        <v>197</v>
      </c>
      <c r="L28" s="286"/>
      <c r="M28" s="692" t="s">
        <v>198</v>
      </c>
      <c r="N28" s="286"/>
      <c r="O28" s="43"/>
      <c r="Q28" s="43"/>
      <c r="R28" s="43"/>
      <c r="S28" s="43"/>
      <c r="T28" s="43"/>
    </row>
    <row r="29" spans="1:20" ht="13.5" thickBot="1" x14ac:dyDescent="0.25">
      <c r="A29" s="351"/>
      <c r="B29" s="362"/>
      <c r="C29" s="351"/>
      <c r="D29" s="362"/>
      <c r="E29" s="1209" t="str">
        <f>HYPERLINK("https://kaart.delfi.ee//?bookmark=ebd616e171f4882941c876d5ba118858","Voka")</f>
        <v>Voka</v>
      </c>
      <c r="F29" s="370"/>
      <c r="G29" s="411"/>
      <c r="H29" s="412"/>
      <c r="I29" s="351"/>
      <c r="J29" s="353"/>
      <c r="K29" s="1228" t="str">
        <f>HYPERLINK("https://kaart.delfi.ee//?bookmark=f8094d103086679871eb6f8621cfcd24","Uuskalda (Läänemaa)")</f>
        <v>Uuskalda (Läänemaa)</v>
      </c>
      <c r="L29" s="391"/>
      <c r="M29" s="1253" t="str">
        <f>HYPERLINK("https://kaart.delfi.ee//?bookmark=f8094d103086679871eb6f8621cfcd24","Uuskalda (Läänemaa)")</f>
        <v>Uuskalda (Läänemaa)</v>
      </c>
      <c r="N29" s="391"/>
      <c r="O29" s="43"/>
      <c r="P29" s="51"/>
      <c r="R29" s="43"/>
      <c r="S29" s="43"/>
      <c r="T29" s="43"/>
    </row>
    <row r="30" spans="1:20" s="7" customFormat="1" x14ac:dyDescent="0.2">
      <c r="A30" s="289"/>
      <c r="B30" s="305">
        <v>11</v>
      </c>
      <c r="C30" s="106"/>
      <c r="D30" s="305">
        <v>12</v>
      </c>
      <c r="E30" s="289"/>
      <c r="F30" s="305">
        <v>13</v>
      </c>
      <c r="G30" s="1213" t="str">
        <f>HYPERLINK("#4!J1","I-Virumaa MV, ")</f>
        <v xml:space="preserve">I-Virumaa MV, </v>
      </c>
      <c r="H30" s="305">
        <v>14</v>
      </c>
      <c r="I30" s="289"/>
      <c r="J30" s="305">
        <v>15</v>
      </c>
      <c r="K30" s="1204" t="str">
        <f>HYPERLINK("#'V-PL'!w1","EV100 pliks-plaks ")</f>
        <v xml:space="preserve">EV100 pliks-plaks </v>
      </c>
      <c r="L30" s="349">
        <v>16</v>
      </c>
      <c r="M30" s="1392" t="str">
        <f>HYPERLINK("#Mu!H1","Toila valla lahtised MV")</f>
        <v>Toila valla lahtised MV</v>
      </c>
      <c r="N30" s="349">
        <v>17</v>
      </c>
      <c r="P30" s="51"/>
      <c r="R30" s="43"/>
      <c r="S30" s="43"/>
      <c r="T30" s="43"/>
    </row>
    <row r="31" spans="1:20" s="51" customFormat="1" x14ac:dyDescent="0.2">
      <c r="A31" s="289"/>
      <c r="B31" s="284"/>
      <c r="C31" s="289"/>
      <c r="D31" s="284"/>
      <c r="E31" s="482" t="s">
        <v>349</v>
      </c>
      <c r="F31" s="284"/>
      <c r="G31" s="1233" t="s">
        <v>198</v>
      </c>
      <c r="H31" s="301"/>
      <c r="I31" s="289"/>
      <c r="J31" s="284"/>
      <c r="K31" s="1395" t="s">
        <v>766</v>
      </c>
      <c r="L31" s="385"/>
      <c r="M31" s="1393" t="s">
        <v>765</v>
      </c>
      <c r="N31" s="405"/>
      <c r="R31" s="50"/>
      <c r="S31" s="50"/>
      <c r="T31" s="50"/>
    </row>
    <row r="32" spans="1:20" s="51" customFormat="1" x14ac:dyDescent="0.2">
      <c r="A32" s="289"/>
      <c r="B32" s="284"/>
      <c r="C32" s="289"/>
      <c r="D32" s="284"/>
      <c r="E32" s="376"/>
      <c r="F32" s="284"/>
      <c r="G32" s="1234" t="str">
        <f>HYPERLINK("https://kaart.delfi.ee//?bookmark=ebd616e171f4882941c876d5ba118858","Voka")</f>
        <v>Voka</v>
      </c>
      <c r="H32" s="301"/>
      <c r="I32" s="289"/>
      <c r="J32" s="284"/>
      <c r="K32" s="1391" t="str">
        <f>HYPERLINK("https://kaart.delfi.ee/?bookmark=63ebb20d0f5732aa12acf360e2b986df","Voka staadion")</f>
        <v>Voka staadion</v>
      </c>
      <c r="L32" s="386"/>
      <c r="M32" s="1394" t="str">
        <f>HYPERLINK("https://kaart.delfi.ee/?bookmark=63ebb20d0f5732aa12acf360e2b986df","Voka staadion")</f>
        <v>Voka staadion</v>
      </c>
      <c r="N32" s="406"/>
      <c r="R32" s="50"/>
      <c r="S32" s="50"/>
      <c r="T32" s="50"/>
    </row>
    <row r="33" spans="1:20" s="51" customFormat="1" x14ac:dyDescent="0.2">
      <c r="A33" s="289"/>
      <c r="B33" s="284"/>
      <c r="C33" s="289"/>
      <c r="D33" s="284"/>
      <c r="E33" s="376"/>
      <c r="F33" s="284"/>
      <c r="G33" s="396"/>
      <c r="H33" s="301"/>
      <c r="I33" s="289"/>
      <c r="J33" s="284"/>
      <c r="K33" s="402" t="str">
        <f>HYPERLINK("http://www.petanque.ee/index.php?id=103589&amp;cid=568","EM,MM katsevõistlused, ")</f>
        <v xml:space="preserve">EM,MM katsevõistlused, </v>
      </c>
      <c r="L33" s="387"/>
      <c r="M33" s="383" t="str">
        <f>HYPERLINK("http://www.petanque.ee/index.php?id=103589&amp;cid=569","EM,MM katsevõistlused, ")</f>
        <v xml:space="preserve">EM,MM katsevõistlused, </v>
      </c>
      <c r="N33" s="387"/>
      <c r="R33" s="50"/>
      <c r="S33" s="50"/>
      <c r="T33" s="50"/>
    </row>
    <row r="34" spans="1:20" s="51" customFormat="1" x14ac:dyDescent="0.2">
      <c r="A34" s="289"/>
      <c r="B34" s="284"/>
      <c r="C34" s="289"/>
      <c r="D34" s="284"/>
      <c r="E34" s="376"/>
      <c r="F34" s="284"/>
      <c r="G34" s="396"/>
      <c r="H34" s="301"/>
      <c r="I34" s="289"/>
      <c r="J34" s="284"/>
      <c r="K34" s="1250" t="s">
        <v>524</v>
      </c>
      <c r="L34" s="388"/>
      <c r="M34" s="1251" t="s">
        <v>295</v>
      </c>
      <c r="N34" s="388"/>
      <c r="R34" s="50"/>
      <c r="S34" s="50"/>
      <c r="T34" s="50"/>
    </row>
    <row r="35" spans="1:20" s="7" customFormat="1" x14ac:dyDescent="0.2">
      <c r="A35" s="289"/>
      <c r="B35" s="284"/>
      <c r="C35" s="376"/>
      <c r="D35" s="284"/>
      <c r="E35" s="289"/>
      <c r="F35" s="284"/>
      <c r="G35" s="377"/>
      <c r="H35" s="301"/>
      <c r="I35" s="289"/>
      <c r="J35" s="284"/>
      <c r="K35" s="700" t="str">
        <f>HYPERLINK("https://boule.lv/kalendars/16062018-balticcup_2017_latvijas_posms/nolikums","10. Baltic Cup 2. etapp, TRIO")</f>
        <v>10. Baltic Cup 2. etapp, TRIO</v>
      </c>
      <c r="L35" s="387"/>
      <c r="M35" s="315"/>
      <c r="N35" s="387"/>
      <c r="P35" s="51"/>
      <c r="R35" s="43"/>
      <c r="S35" s="43"/>
      <c r="T35" s="43"/>
    </row>
    <row r="36" spans="1:20" s="7" customFormat="1" ht="13.5" thickBot="1" x14ac:dyDescent="0.25">
      <c r="A36" s="351"/>
      <c r="B36" s="353"/>
      <c r="C36" s="411"/>
      <c r="D36" s="353"/>
      <c r="E36" s="351"/>
      <c r="F36" s="353"/>
      <c r="G36" s="378"/>
      <c r="H36" s="359"/>
      <c r="I36" s="351"/>
      <c r="J36" s="353"/>
      <c r="K36" s="413" t="str">
        <f>HYPERLINK("http://petanque.lv/events/171/baltic-cup-2017-ropazi/","Ropaži (Läti)")</f>
        <v>Ropaži (Läti)</v>
      </c>
      <c r="L36" s="488" t="str">
        <f>HYPERLINK("https://www.facebook.com/petanquekyti/posts/638422959848305","fot")</f>
        <v>fot</v>
      </c>
      <c r="M36" s="779" t="str">
        <f>HYPERLINK("https://boule.lv/rezultati/16062018-balticcup_2017_latvijas_posms","tul")</f>
        <v>tul</v>
      </c>
      <c r="N36" s="356"/>
      <c r="O36" s="43"/>
      <c r="P36" s="43"/>
      <c r="Q36" s="43"/>
      <c r="R36" s="50"/>
      <c r="S36" s="43"/>
      <c r="T36" s="43"/>
    </row>
    <row r="37" spans="1:20" s="7" customFormat="1" x14ac:dyDescent="0.2">
      <c r="A37" s="289"/>
      <c r="B37" s="305">
        <v>18</v>
      </c>
      <c r="C37" s="289"/>
      <c r="D37" s="305">
        <v>19</v>
      </c>
      <c r="E37" s="106"/>
      <c r="F37" s="305">
        <v>20</v>
      </c>
      <c r="G37" s="397"/>
      <c r="H37" s="305">
        <v>21</v>
      </c>
      <c r="I37" s="357"/>
      <c r="J37" s="305">
        <v>22</v>
      </c>
      <c r="K37" s="781" t="s">
        <v>342</v>
      </c>
      <c r="L37" s="389">
        <v>23</v>
      </c>
      <c r="M37" s="284"/>
      <c r="N37" s="389">
        <v>24</v>
      </c>
      <c r="O37" s="43"/>
      <c r="P37" s="43"/>
      <c r="Q37" s="43"/>
      <c r="R37" s="50"/>
      <c r="S37" s="43"/>
      <c r="T37" s="43"/>
    </row>
    <row r="38" spans="1:20" s="7" customFormat="1" hidden="1" x14ac:dyDescent="0.2">
      <c r="A38" s="289"/>
      <c r="B38" s="284"/>
      <c r="C38" s="289"/>
      <c r="D38" s="284"/>
      <c r="E38" s="376"/>
      <c r="F38" s="284"/>
      <c r="G38" s="106"/>
      <c r="H38" s="284"/>
      <c r="I38" s="470"/>
      <c r="J38" s="284"/>
      <c r="K38" s="289"/>
      <c r="L38" s="286"/>
      <c r="M38" s="384"/>
      <c r="N38" s="286"/>
      <c r="O38" s="3"/>
      <c r="P38" s="3"/>
      <c r="Q38" s="3"/>
    </row>
    <row r="39" spans="1:20" s="285" customFormat="1" x14ac:dyDescent="0.2">
      <c r="A39" s="289"/>
      <c r="B39" s="284"/>
      <c r="C39" s="289"/>
      <c r="D39" s="284"/>
      <c r="E39" s="376"/>
      <c r="F39" s="284"/>
      <c r="G39" s="106"/>
      <c r="H39" s="284"/>
      <c r="I39" s="106" t="str">
        <f>HYPERLINK("https://www.facebook.com/petanquekyti/photos/a.424661737891096.1073741834.408646699492600/601566240200644/?type=3","Võru Jaaniturniir")</f>
        <v>Võru Jaaniturniir</v>
      </c>
      <c r="J39" s="284"/>
      <c r="K39" s="284"/>
      <c r="L39" s="286"/>
      <c r="M39" s="384"/>
      <c r="N39" s="286"/>
      <c r="O39" s="283"/>
      <c r="P39" s="283"/>
      <c r="Q39" s="283"/>
    </row>
    <row r="40" spans="1:20" ht="13.5" thickBot="1" x14ac:dyDescent="0.25">
      <c r="A40" s="351"/>
      <c r="B40" s="353"/>
      <c r="C40" s="351"/>
      <c r="D40" s="353"/>
      <c r="E40" s="414"/>
      <c r="F40" s="353"/>
      <c r="G40" s="415"/>
      <c r="H40" s="353"/>
      <c r="I40" s="1232" t="str">
        <f>HYPERLINK("http://www.petanque.ee/index.php?id=103589&amp;cid=615","Saku Jaaniduppel")</f>
        <v>Saku Jaaniduppel</v>
      </c>
      <c r="J40" s="353"/>
      <c r="K40" s="353"/>
      <c r="L40" s="356"/>
      <c r="M40" s="416"/>
      <c r="N40" s="356"/>
    </row>
    <row r="41" spans="1:20" s="50" customFormat="1" x14ac:dyDescent="0.2">
      <c r="A41" s="289"/>
      <c r="B41" s="305">
        <v>25</v>
      </c>
      <c r="C41" s="289"/>
      <c r="D41" s="305">
        <v>26</v>
      </c>
      <c r="E41" s="1236" t="str">
        <f>HYPERLINK("#V4!J1","Voka 5. KV")</f>
        <v>Voka 5. KV</v>
      </c>
      <c r="F41" s="305">
        <v>27</v>
      </c>
      <c r="G41" s="1213" t="str">
        <f>HYPERLINK("#5!J1","I-Virumaa MV, ")</f>
        <v xml:space="preserve">I-Virumaa MV, </v>
      </c>
      <c r="H41" s="305">
        <v>28</v>
      </c>
      <c r="I41" s="289"/>
      <c r="J41" s="305">
        <v>29</v>
      </c>
      <c r="K41" s="1210" t="str">
        <f>HYPERLINK("http://www.petanque.ee/index.php?id=103589&amp;cid=570","18. Eesti MV, ")</f>
        <v xml:space="preserve">18. Eesti MV, </v>
      </c>
      <c r="L41" s="305">
        <v>30</v>
      </c>
      <c r="M41" s="417"/>
      <c r="N41" s="358"/>
    </row>
    <row r="42" spans="1:20" s="50" customFormat="1" ht="13.5" thickBot="1" x14ac:dyDescent="0.25">
      <c r="A42" s="289"/>
      <c r="B42" s="52"/>
      <c r="C42" s="289"/>
      <c r="D42" s="52"/>
      <c r="E42" s="1208" t="s">
        <v>300</v>
      </c>
      <c r="F42" s="325"/>
      <c r="G42" s="1230" t="s">
        <v>181</v>
      </c>
      <c r="H42" s="310"/>
      <c r="I42" s="289"/>
      <c r="J42" s="52"/>
      <c r="K42" s="1215" t="s">
        <v>181</v>
      </c>
      <c r="L42" s="52"/>
      <c r="M42" s="418"/>
      <c r="N42" s="284"/>
    </row>
    <row r="43" spans="1:20" s="50" customFormat="1" x14ac:dyDescent="0.2">
      <c r="A43" s="289"/>
      <c r="B43" s="52"/>
      <c r="C43" s="289"/>
      <c r="D43" s="52"/>
      <c r="E43" s="1217" t="str">
        <f>HYPERLINK("https://kaart.delfi.ee//?bookmark=ebd616e171f4882941c876d5ba118858","Voka")</f>
        <v>Voka</v>
      </c>
      <c r="F43" s="325"/>
      <c r="G43" s="1213" t="str">
        <f>HYPERLINK("https://kaart.delfi.ee//?bookmark=1840db012ef3a4aff78d37f1f3ff52b8","K-Järve")</f>
        <v>K-Järve</v>
      </c>
      <c r="H43" s="310"/>
      <c r="I43" s="289"/>
      <c r="J43" s="348"/>
      <c r="K43" s="106" t="str">
        <f>HYPERLINK("https://kaart.delfi.ee//?bookmark=bee81632cfb73aa0d24153a91307e1bb","Tartu, Raadi")</f>
        <v>Tartu, Raadi</v>
      </c>
      <c r="L43" s="828"/>
      <c r="M43" s="1244" t="str">
        <f>HYPERLINK("http://www.petanque.ee/index.php?id=103589&amp;cid=571","EPKL reiting,")</f>
        <v>EPKL reiting,</v>
      </c>
      <c r="N43" s="344">
        <v>1</v>
      </c>
    </row>
    <row r="44" spans="1:20" s="50" customFormat="1" ht="13.5" thickBot="1" x14ac:dyDescent="0.25">
      <c r="A44" s="351"/>
      <c r="B44" s="362"/>
      <c r="C44" s="351"/>
      <c r="D44" s="362"/>
      <c r="E44" s="395"/>
      <c r="F44" s="394"/>
      <c r="G44" s="494" t="s">
        <v>565</v>
      </c>
      <c r="H44" s="362"/>
      <c r="I44" s="400"/>
      <c r="J44" s="829"/>
      <c r="K44" s="830"/>
      <c r="L44" s="827"/>
      <c r="M44" s="1245" t="s">
        <v>198</v>
      </c>
      <c r="N44" s="348" t="str">
        <f>HYPERLINK("https://kaart.delfi.ee//?bookmark=227381573835c5ead59857fe5ae367cf","")</f>
        <v/>
      </c>
    </row>
    <row r="45" spans="1:20" s="7" customFormat="1" x14ac:dyDescent="0.2">
      <c r="A45" s="339" t="s">
        <v>65</v>
      </c>
      <c r="B45" s="337"/>
      <c r="C45" s="338"/>
      <c r="E45" s="285"/>
      <c r="K45" s="285"/>
      <c r="L45" s="326"/>
      <c r="M45" s="1246" t="str">
        <f>HYPERLINK("https://kaart.delfi.ee//?bookmark=bee81632cfb73aa0d24153a91307e1bb","Tartu, Raadi")</f>
        <v>Tartu, Raadi</v>
      </c>
      <c r="N45" s="407"/>
      <c r="O45" s="3"/>
      <c r="P45" s="3"/>
      <c r="Q45" s="3"/>
      <c r="R45" s="50"/>
    </row>
    <row r="46" spans="1:20" ht="13.5" thickBot="1" x14ac:dyDescent="0.25">
      <c r="E46" s="283"/>
      <c r="F46" s="3"/>
      <c r="K46" s="283"/>
      <c r="L46" s="107"/>
      <c r="M46" s="831" t="str">
        <f>HYPERLINK("https://www.mondiallamarseillaiseapetanque.com/","57. Mondial la Marseillaise à Pétanque 01.-05.07.2018")</f>
        <v>57. Mondial la Marseillaise à Pétanque 01.-05.07.2018</v>
      </c>
      <c r="N46" s="390"/>
      <c r="O46" s="49" t="s">
        <v>173</v>
      </c>
      <c r="P46" s="50"/>
      <c r="R46" s="50"/>
    </row>
    <row r="47" spans="1:20" s="7" customFormat="1" x14ac:dyDescent="0.2">
      <c r="A47" s="357"/>
      <c r="B47" s="347">
        <v>2</v>
      </c>
      <c r="C47" s="343"/>
      <c r="D47" s="346">
        <v>3</v>
      </c>
      <c r="E47" s="1203" t="str">
        <f>HYPERLINK("#V5!H1","Voka 5. KV")</f>
        <v>Voka 5. KV</v>
      </c>
      <c r="F47" s="347">
        <v>4</v>
      </c>
      <c r="G47" s="357"/>
      <c r="H47" s="347">
        <v>5</v>
      </c>
      <c r="I47" s="357"/>
      <c r="J47" s="346">
        <v>6</v>
      </c>
      <c r="K47" s="343" t="str">
        <f>HYPERLINK("http://www.joud.ee/est/g78s4432/","43. Eesti omavalitsus- ")</f>
        <v xml:space="preserve">43. Eesti omavalitsus- </v>
      </c>
      <c r="L47" s="346">
        <v>7</v>
      </c>
      <c r="M47" s="343" t="s">
        <v>564</v>
      </c>
      <c r="N47" s="344">
        <v>8</v>
      </c>
      <c r="O47" s="3"/>
      <c r="P47" s="50"/>
      <c r="Q47" s="3"/>
    </row>
    <row r="48" spans="1:20" s="7" customFormat="1" x14ac:dyDescent="0.2">
      <c r="A48" s="289"/>
      <c r="B48" s="284"/>
      <c r="C48" s="376"/>
      <c r="D48" s="306"/>
      <c r="E48" s="1208" t="s">
        <v>301</v>
      </c>
      <c r="F48" s="189"/>
      <c r="G48" s="289"/>
      <c r="H48" s="52"/>
      <c r="I48" s="289"/>
      <c r="J48" s="307"/>
      <c r="K48" s="289" t="s">
        <v>331</v>
      </c>
      <c r="L48" s="307"/>
      <c r="M48" s="289" t="s">
        <v>331</v>
      </c>
      <c r="N48" s="348"/>
      <c r="O48" s="3"/>
      <c r="P48" s="50"/>
      <c r="Q48" s="3"/>
    </row>
    <row r="49" spans="1:19" s="51" customFormat="1" x14ac:dyDescent="0.2">
      <c r="A49" s="374"/>
      <c r="B49" s="316"/>
      <c r="C49" s="429"/>
      <c r="D49" s="312"/>
      <c r="E49" s="1249" t="str">
        <f>HYPERLINK("https://kaart.delfi.ee//?bookmark=ebd616e171f4882941c876d5ba118858","Voka")</f>
        <v>Voka</v>
      </c>
      <c r="F49" s="321"/>
      <c r="G49" s="374"/>
      <c r="H49" s="322"/>
      <c r="I49" s="289"/>
      <c r="J49" s="307"/>
      <c r="K49" s="289" t="s">
        <v>195</v>
      </c>
      <c r="L49" s="307"/>
      <c r="M49" s="289" t="s">
        <v>195</v>
      </c>
      <c r="N49" s="348"/>
      <c r="O49" s="50"/>
      <c r="P49" s="50"/>
      <c r="Q49" s="50"/>
    </row>
    <row r="50" spans="1:19" s="7" customFormat="1" ht="13.5" thickBot="1" x14ac:dyDescent="0.25">
      <c r="A50" s="1377" t="s">
        <v>756</v>
      </c>
      <c r="B50" s="1378"/>
      <c r="C50" s="426"/>
      <c r="D50" s="426"/>
      <c r="E50" s="427"/>
      <c r="F50" s="426"/>
      <c r="G50" s="426"/>
      <c r="H50" s="426"/>
      <c r="I50" s="351"/>
      <c r="J50" s="356"/>
      <c r="K50" s="416" t="str">
        <f>HYPERLINK("https://kaart.delfi.ee//?bookmark=f8094d103086679871eb6f8621cfcd24","Uuskalda (Läänemaa)")</f>
        <v>Uuskalda (Läänemaa)</v>
      </c>
      <c r="L50" s="488" t="str">
        <f>HYPERLINK("https://photos.google.com/share/AF1QipOVAmp0ZWt4dqq43jnjj7C0GCdOLvPmbIzZeAT9BAmlnMqhle5-8vlFYMwuDTJmDQ?key=Um5DUnhKRXZvMjY0Yi1qZnp5ZXpkSnRXNGg1M2hR","fot")</f>
        <v>fot</v>
      </c>
      <c r="M50" s="416" t="str">
        <f>HYPERLINK("https://kaart.delfi.ee//?bookmark=f8094d103086679871eb6f8621cfcd24","Uuskalda (Läänemaa)")</f>
        <v>Uuskalda (Läänemaa)</v>
      </c>
      <c r="N50" s="488" t="str">
        <f>HYPERLINK("http://joud.ee/est/g79s4492","tul")</f>
        <v>tul</v>
      </c>
      <c r="O50" s="3"/>
      <c r="P50" s="3"/>
      <c r="Q50" s="50"/>
    </row>
    <row r="51" spans="1:19" s="7" customFormat="1" x14ac:dyDescent="0.2">
      <c r="A51" s="289"/>
      <c r="B51" s="305">
        <v>9</v>
      </c>
      <c r="C51" s="289"/>
      <c r="D51" s="308">
        <v>10</v>
      </c>
      <c r="E51" s="357"/>
      <c r="F51" s="308">
        <v>11</v>
      </c>
      <c r="G51" s="1229" t="str">
        <f>HYPERLINK("#6!i1","Jõhvi 18. MV, ")</f>
        <v xml:space="preserve">Jõhvi 18. MV, </v>
      </c>
      <c r="H51" s="305">
        <v>12</v>
      </c>
      <c r="I51" s="289"/>
      <c r="J51" s="308">
        <v>13</v>
      </c>
      <c r="K51" s="699" t="str">
        <f>HYPERLINK("http://www.petanque.ee/index.php?id=103589&amp;cid=572","10. Baltic Cup 3. etapp, ")</f>
        <v xml:space="preserve">10. Baltic Cup 3. etapp, </v>
      </c>
      <c r="L51" s="308">
        <v>14</v>
      </c>
      <c r="M51" s="1210" t="str">
        <f>HYPERLINK("http://www.petanque.ee/index.php?id=103589&amp;cid=573","28. Eesti MV, ")</f>
        <v xml:space="preserve">28. Eesti MV, </v>
      </c>
      <c r="N51" s="349">
        <v>15</v>
      </c>
      <c r="O51" s="3"/>
      <c r="P51" s="3"/>
      <c r="Q51" s="50"/>
    </row>
    <row r="52" spans="1:19" s="10" customFormat="1" x14ac:dyDescent="0.2">
      <c r="A52" s="289"/>
      <c r="B52" s="52"/>
      <c r="C52" s="289"/>
      <c r="D52" s="307"/>
      <c r="E52" s="482" t="s">
        <v>347</v>
      </c>
      <c r="F52" s="307"/>
      <c r="G52" s="1240" t="s">
        <v>719</v>
      </c>
      <c r="H52" s="301"/>
      <c r="I52" s="289"/>
      <c r="J52" s="307"/>
      <c r="K52" s="371" t="s">
        <v>198</v>
      </c>
      <c r="L52" s="476" t="str">
        <f>HYPERLINK("https://boule.lv/kalendars/16062018-balticcup_2017_latvijas_posms/nolikums","juh")</f>
        <v>juh</v>
      </c>
      <c r="M52" s="1215" t="s">
        <v>199</v>
      </c>
      <c r="N52" s="348"/>
      <c r="O52" s="22"/>
      <c r="P52" s="22"/>
      <c r="Q52" s="50"/>
    </row>
    <row r="53" spans="1:19" s="7" customFormat="1" ht="13.5" thickBot="1" x14ac:dyDescent="0.25">
      <c r="A53" s="351"/>
      <c r="B53" s="353"/>
      <c r="C53" s="351"/>
      <c r="D53" s="352"/>
      <c r="E53" s="351"/>
      <c r="F53" s="361"/>
      <c r="G53" s="1248" t="str">
        <f>HYPERLINK("https://kaart.delfi.ee/?bookmark=4c0b1b0c24ff9f4919899a9546bf50f1","Jõhvi, Neptun")</f>
        <v>Jõhvi, Neptun</v>
      </c>
      <c r="H53" s="359"/>
      <c r="I53" s="411"/>
      <c r="J53" s="428"/>
      <c r="K53" s="1247" t="str">
        <f>HYPERLINK("https://kaart.delfi.ee/?bookmark=037591353bf9698628b723dab6c5e799","Valga")</f>
        <v>Valga</v>
      </c>
      <c r="L53" s="361"/>
      <c r="M53" s="1242" t="str">
        <f>HYPERLINK("https://kaart.delfi.ee/?bookmark=037591353bf9698628b723dab6c5e799","Valga")</f>
        <v>Valga</v>
      </c>
      <c r="N53" s="391"/>
      <c r="O53" s="3"/>
      <c r="P53" s="3"/>
      <c r="Q53" s="50"/>
    </row>
    <row r="54" spans="1:19" s="7" customFormat="1" x14ac:dyDescent="0.2">
      <c r="A54" s="289"/>
      <c r="B54" s="305">
        <v>16</v>
      </c>
      <c r="C54" s="289"/>
      <c r="D54" s="308">
        <v>17</v>
      </c>
      <c r="E54" s="106"/>
      <c r="F54" s="308">
        <v>18</v>
      </c>
      <c r="G54" s="1213" t="str">
        <f>HYPERLINK("#7!i1","Jõhvi 16. MV, ")</f>
        <v xml:space="preserve">Jõhvi 16. MV, </v>
      </c>
      <c r="H54" s="305">
        <v>19</v>
      </c>
      <c r="I54" s="289"/>
      <c r="J54" s="308">
        <v>20</v>
      </c>
      <c r="K54" s="1210" t="str">
        <f>HYPERLINK("http://www.petanque.ee/index.php?id=103589&amp;cid=574","13. Eesti MV, ")</f>
        <v xml:space="preserve">13. Eesti MV, </v>
      </c>
      <c r="L54" s="308">
        <v>21</v>
      </c>
      <c r="M54" s="1243" t="str">
        <f>HYPERLINK("http://www.petanque.ee/index.php?id=103589&amp;cid=575","EPKL reiting, Maestro")</f>
        <v>EPKL reiting, Maestro</v>
      </c>
      <c r="N54" s="349">
        <v>22</v>
      </c>
      <c r="O54" s="3"/>
      <c r="Q54" s="3"/>
    </row>
    <row r="55" spans="1:19" s="7" customFormat="1" x14ac:dyDescent="0.2">
      <c r="A55" s="289"/>
      <c r="B55" s="284"/>
      <c r="C55" s="289"/>
      <c r="D55" s="306"/>
      <c r="E55" s="376"/>
      <c r="F55" s="306"/>
      <c r="G55" s="1240" t="s">
        <v>720</v>
      </c>
      <c r="H55" s="323"/>
      <c r="I55" s="483" t="s">
        <v>348</v>
      </c>
      <c r="J55" s="307"/>
      <c r="K55" s="1215" t="s">
        <v>195</v>
      </c>
      <c r="L55" s="306"/>
      <c r="M55" s="1215" t="s">
        <v>600</v>
      </c>
      <c r="N55" s="286"/>
      <c r="O55" s="3"/>
      <c r="Q55" s="3"/>
    </row>
    <row r="56" spans="1:19" s="285" customFormat="1" x14ac:dyDescent="0.2">
      <c r="A56" s="289"/>
      <c r="B56" s="284"/>
      <c r="C56" s="289"/>
      <c r="D56" s="306"/>
      <c r="E56" s="376"/>
      <c r="F56" s="306"/>
      <c r="G56" s="475" t="str">
        <f>HYPERLINK("https://kaart.delfi.ee/?bookmark=4c0b1b0c24ff9f4919899a9546bf50f1","Jõhvi, Neptun")</f>
        <v>Jõhvi, Neptun</v>
      </c>
      <c r="H56" s="301"/>
      <c r="I56" s="484" t="s">
        <v>584</v>
      </c>
      <c r="J56" s="306"/>
      <c r="K56" s="1210" t="str">
        <f>HYPERLINK("https://kaart.delfi.ee//?bookmark=686832392e49d2a003b52e6ed2157288","Tallinn, Rummu tee 3")</f>
        <v>Tallinn, Rummu tee 3</v>
      </c>
      <c r="L56" s="476"/>
      <c r="M56" s="1210" t="str">
        <f>HYPERLINK("https://kaart.delfi.ee//?bookmark=686832392e49d2a003b52e6ed2157288","Tallinn, Rummu tee 3")</f>
        <v>Tallinn, Rummu tee 3</v>
      </c>
      <c r="N56" s="286"/>
      <c r="O56" s="283"/>
      <c r="Q56" s="283"/>
    </row>
    <row r="57" spans="1:19" s="285" customFormat="1" x14ac:dyDescent="0.2">
      <c r="A57" s="289"/>
      <c r="B57" s="284"/>
      <c r="C57" s="289"/>
      <c r="D57" s="306"/>
      <c r="E57" s="376"/>
      <c r="F57" s="286"/>
      <c r="G57" s="475"/>
      <c r="H57" s="301"/>
      <c r="I57" s="484" t="s">
        <v>200</v>
      </c>
      <c r="J57" s="284"/>
      <c r="K57" s="485" t="s">
        <v>345</v>
      </c>
      <c r="L57" s="479" t="str">
        <f>HYPERLINK("https://www.facebook.com/SPbPetanque","inf")</f>
        <v>inf</v>
      </c>
      <c r="M57" s="485" t="s">
        <v>346</v>
      </c>
      <c r="N57" s="478"/>
      <c r="O57" s="49" t="s">
        <v>173</v>
      </c>
      <c r="Q57" s="283"/>
    </row>
    <row r="58" spans="1:19" ht="13.5" thickBot="1" x14ac:dyDescent="0.25">
      <c r="A58" s="351"/>
      <c r="B58" s="353"/>
      <c r="C58" s="351"/>
      <c r="D58" s="352"/>
      <c r="E58" s="414"/>
      <c r="F58" s="356"/>
      <c r="G58" s="833"/>
      <c r="H58" s="477"/>
      <c r="I58" s="439"/>
      <c r="J58" s="474"/>
      <c r="K58" s="486" t="s">
        <v>344</v>
      </c>
      <c r="L58" s="835" t="s">
        <v>343</v>
      </c>
      <c r="M58" s="834"/>
      <c r="N58" s="474"/>
      <c r="O58" s="49" t="s">
        <v>173</v>
      </c>
      <c r="P58" s="50"/>
      <c r="Q58" s="43"/>
      <c r="R58" s="43"/>
      <c r="S58" s="43"/>
    </row>
    <row r="59" spans="1:19" s="7" customFormat="1" x14ac:dyDescent="0.2">
      <c r="A59" s="289"/>
      <c r="B59" s="305">
        <v>23</v>
      </c>
      <c r="C59" s="289"/>
      <c r="D59" s="308">
        <v>24</v>
      </c>
      <c r="E59" s="1236" t="str">
        <f>HYPERLINK("#V6!J1","Voka 5. KV")</f>
        <v>Voka 5. KV</v>
      </c>
      <c r="F59" s="308">
        <v>25</v>
      </c>
      <c r="G59" s="106"/>
      <c r="H59" s="305">
        <v>26</v>
      </c>
      <c r="I59" s="289"/>
      <c r="J59" s="308">
        <v>27</v>
      </c>
      <c r="K59" s="106"/>
      <c r="L59" s="308">
        <v>28</v>
      </c>
      <c r="M59" s="1213" t="str">
        <f>HYPERLINK("#8!I'1","Jõhvi 18. MV, ")</f>
        <v xml:space="preserve">Jõhvi 18. MV, </v>
      </c>
      <c r="N59" s="349">
        <v>29</v>
      </c>
      <c r="O59" s="3"/>
      <c r="P59" s="43"/>
      <c r="Q59" s="43"/>
      <c r="R59" s="43"/>
      <c r="S59" s="43"/>
    </row>
    <row r="60" spans="1:19" s="10" customFormat="1" x14ac:dyDescent="0.2">
      <c r="A60" s="289"/>
      <c r="B60" s="52"/>
      <c r="C60" s="289"/>
      <c r="D60" s="307"/>
      <c r="E60" s="1208" t="s">
        <v>302</v>
      </c>
      <c r="F60" s="313"/>
      <c r="G60" s="106"/>
      <c r="H60" s="52"/>
      <c r="I60" s="289"/>
      <c r="J60" s="307"/>
      <c r="K60" s="106"/>
      <c r="L60" s="307"/>
      <c r="M60" s="1240" t="s">
        <v>201</v>
      </c>
      <c r="N60" s="408"/>
      <c r="O60" s="22"/>
      <c r="P60" s="22"/>
      <c r="Q60" s="22"/>
      <c r="R60" s="22"/>
      <c r="S60" s="22"/>
    </row>
    <row r="61" spans="1:19" s="10" customFormat="1" x14ac:dyDescent="0.2">
      <c r="A61" s="289"/>
      <c r="B61" s="52"/>
      <c r="C61" s="289"/>
      <c r="D61" s="307"/>
      <c r="E61" s="1217" t="str">
        <f>HYPERLINK("https://kaart.delfi.ee//?bookmark=ebd616e171f4882941c876d5ba118858","Voka")</f>
        <v>Voka</v>
      </c>
      <c r="F61" s="313"/>
      <c r="G61" s="432"/>
      <c r="H61" s="322"/>
      <c r="I61" s="374"/>
      <c r="J61" s="314"/>
      <c r="K61" s="432"/>
      <c r="L61" s="314"/>
      <c r="M61" s="1241" t="str">
        <f>HYPERLINK("https://kaart.delfi.ee/?bookmark=4c0b1b0c24ff9f4919899a9546bf50f1","Jõhvi, Neptun")</f>
        <v>Jõhvi, Neptun</v>
      </c>
      <c r="N61" s="409"/>
      <c r="O61" s="22"/>
      <c r="P61" s="22"/>
      <c r="Q61" s="22"/>
      <c r="R61" s="22"/>
      <c r="S61" s="22"/>
    </row>
    <row r="62" spans="1:19" s="7" customFormat="1" x14ac:dyDescent="0.2">
      <c r="A62" s="289"/>
      <c r="B62" s="284"/>
      <c r="C62" s="289"/>
      <c r="D62" s="306"/>
      <c r="E62" s="430"/>
      <c r="F62" s="309"/>
      <c r="G62" s="433" t="s">
        <v>73</v>
      </c>
      <c r="H62" s="317"/>
      <c r="I62" s="318"/>
      <c r="J62" s="319"/>
      <c r="K62" s="318"/>
      <c r="L62" s="320"/>
      <c r="M62" s="318"/>
      <c r="N62" s="410"/>
      <c r="O62" s="3"/>
      <c r="P62" s="43"/>
      <c r="Q62" s="43"/>
      <c r="R62" s="43"/>
      <c r="S62" s="43"/>
    </row>
    <row r="63" spans="1:19" s="7" customFormat="1" ht="13.5" thickBot="1" x14ac:dyDescent="0.25">
      <c r="A63" s="351"/>
      <c r="B63" s="353"/>
      <c r="C63" s="351"/>
      <c r="D63" s="352"/>
      <c r="E63" s="431"/>
      <c r="F63" s="354"/>
      <c r="G63" s="434"/>
      <c r="H63" s="419"/>
      <c r="I63" s="420"/>
      <c r="J63" s="421"/>
      <c r="K63" s="422"/>
      <c r="L63" s="423"/>
      <c r="M63" s="424"/>
      <c r="N63" s="425" t="s">
        <v>438</v>
      </c>
      <c r="O63" s="3"/>
      <c r="P63" s="50"/>
      <c r="Q63" s="50"/>
      <c r="R63" s="50"/>
      <c r="S63" s="43"/>
    </row>
    <row r="64" spans="1:19" s="283" customFormat="1" ht="13.5" thickBot="1" x14ac:dyDescent="0.25">
      <c r="A64" s="46" t="s">
        <v>66</v>
      </c>
      <c r="B64" s="45"/>
      <c r="C64" s="44"/>
      <c r="D64" s="284"/>
      <c r="E64" s="284"/>
      <c r="F64" s="107"/>
      <c r="G64" s="108"/>
      <c r="H64" s="107"/>
      <c r="I64" s="108"/>
      <c r="J64" s="107"/>
      <c r="K64" s="108"/>
      <c r="L64" s="52"/>
      <c r="M64" s="284"/>
      <c r="N64" s="52"/>
    </row>
    <row r="65" spans="1:19" s="7" customFormat="1" x14ac:dyDescent="0.2">
      <c r="A65" s="357"/>
      <c r="B65" s="347">
        <v>30</v>
      </c>
      <c r="C65" s="357"/>
      <c r="D65" s="347">
        <v>31</v>
      </c>
      <c r="E65" s="1237" t="str">
        <f>HYPERLINK("#V7!G1","Voka 5. KV")</f>
        <v>Voka 5. KV</v>
      </c>
      <c r="F65" s="347">
        <v>1</v>
      </c>
      <c r="G65" s="1229" t="str">
        <f>HYPERLINK("#5!J1","I-Virumaa MV, ")</f>
        <v xml:space="preserve">I-Virumaa MV, </v>
      </c>
      <c r="H65" s="347">
        <v>2</v>
      </c>
      <c r="I65" s="357"/>
      <c r="J65" s="347">
        <v>3</v>
      </c>
      <c r="K65" s="1222" t="str">
        <f>HYPERLINK("http://www.petanque.ee/index.php?id=103589&amp;cid=580","28. Eesti MV, ")</f>
        <v xml:space="preserve">28. Eesti MV, </v>
      </c>
      <c r="L65" s="347">
        <v>4</v>
      </c>
      <c r="M65" s="1222" t="str">
        <f>HYPERLINK("http://www.petanque.ee/index.php?id=103589&amp;cid=581","EPKL reiting, ")</f>
        <v xml:space="preserve">EPKL reiting, </v>
      </c>
      <c r="N65" s="344">
        <v>5</v>
      </c>
      <c r="O65" s="3"/>
      <c r="P65" s="50"/>
    </row>
    <row r="66" spans="1:19" s="7" customFormat="1" x14ac:dyDescent="0.2">
      <c r="A66" s="289"/>
      <c r="B66" s="284"/>
      <c r="C66" s="438"/>
      <c r="D66" s="326"/>
      <c r="E66" s="1238" t="s">
        <v>303</v>
      </c>
      <c r="F66" s="437"/>
      <c r="G66" s="1230" t="s">
        <v>199</v>
      </c>
      <c r="H66" s="301"/>
      <c r="I66" s="289"/>
      <c r="J66" s="284"/>
      <c r="K66" s="1215" t="s">
        <v>201</v>
      </c>
      <c r="L66" s="284"/>
      <c r="M66" s="1211" t="s">
        <v>718</v>
      </c>
      <c r="N66" s="286"/>
      <c r="O66" s="3"/>
      <c r="P66" s="50"/>
      <c r="Q66" s="50"/>
      <c r="R66" s="50"/>
      <c r="S66" s="43"/>
    </row>
    <row r="67" spans="1:19" s="51" customFormat="1" x14ac:dyDescent="0.2">
      <c r="A67" s="289"/>
      <c r="B67" s="284"/>
      <c r="C67" s="438"/>
      <c r="D67" s="284"/>
      <c r="E67" s="1239" t="str">
        <f>HYPERLINK("https://kaart.delfi.ee//?bookmark=ebd616e171f4882941c876d5ba118858","Voka")</f>
        <v>Voka</v>
      </c>
      <c r="F67" s="189"/>
      <c r="G67" s="1213" t="str">
        <f>HYPERLINK("https://kaart.delfi.ee/?bookmark=521b80d6ceeefbe3e5d227267242b576","K-Järve")</f>
        <v>K-Järve</v>
      </c>
      <c r="H67" s="301"/>
      <c r="I67" s="289"/>
      <c r="J67" s="284"/>
      <c r="K67" s="1231" t="str">
        <f>HYPERLINK("https://kaart.delfi.ee/?bookmark=4c0b1b0c24ff9f4919899a9546bf50f1","Jõhvi, Neptun")</f>
        <v>Jõhvi, Neptun</v>
      </c>
      <c r="L67" s="316"/>
      <c r="M67" s="1223" t="str">
        <f>HYPERLINK("https://kaart.delfi.ee/?bookmark=521b80d6ceeefbe3e5d227267242b576","K-Järve")</f>
        <v>K-Järve</v>
      </c>
      <c r="N67" s="388"/>
      <c r="O67" s="50"/>
      <c r="P67" s="50"/>
      <c r="Q67" s="50"/>
      <c r="R67" s="50"/>
      <c r="S67" s="50"/>
    </row>
    <row r="68" spans="1:19" s="51" customFormat="1" x14ac:dyDescent="0.2">
      <c r="A68" s="289"/>
      <c r="B68" s="284"/>
      <c r="C68" s="438"/>
      <c r="D68" s="284"/>
      <c r="E68" s="441" t="s">
        <v>585</v>
      </c>
      <c r="F68" s="189"/>
      <c r="G68" s="398"/>
      <c r="H68" s="301"/>
      <c r="I68" s="289"/>
      <c r="J68" s="284"/>
      <c r="K68" s="399" t="s">
        <v>428</v>
      </c>
      <c r="L68" s="387"/>
      <c r="M68" s="1224" t="s">
        <v>659</v>
      </c>
      <c r="N68" s="387"/>
      <c r="O68" s="50"/>
      <c r="P68" s="50"/>
      <c r="Q68" s="50"/>
      <c r="R68" s="50"/>
      <c r="S68" s="50"/>
    </row>
    <row r="69" spans="1:19" s="51" customFormat="1" x14ac:dyDescent="0.2">
      <c r="A69" s="289"/>
      <c r="B69" s="284"/>
      <c r="C69" s="438"/>
      <c r="D69" s="284"/>
      <c r="E69" s="441" t="s">
        <v>200</v>
      </c>
      <c r="F69" s="189"/>
      <c r="G69" s="398"/>
      <c r="H69" s="301"/>
      <c r="I69" s="289"/>
      <c r="J69" s="284"/>
      <c r="K69" s="289" t="s">
        <v>74</v>
      </c>
      <c r="L69" s="487"/>
      <c r="M69" s="285"/>
      <c r="N69" s="286"/>
      <c r="O69" s="50"/>
      <c r="P69" s="50"/>
      <c r="Q69" s="50"/>
      <c r="R69" s="50"/>
      <c r="S69" s="50"/>
    </row>
    <row r="70" spans="1:19" ht="13.5" thickBot="1" x14ac:dyDescent="0.25">
      <c r="A70" s="451"/>
      <c r="B70" s="452"/>
      <c r="C70" s="451"/>
      <c r="D70" s="454"/>
      <c r="E70" s="442"/>
      <c r="F70" s="370"/>
      <c r="G70" s="378"/>
      <c r="H70" s="359"/>
      <c r="I70" s="351"/>
      <c r="J70" s="353"/>
      <c r="K70" s="1232" t="str">
        <f>HYPERLINK("https://kaart.delfi.ee//?bookmark=6fab7b5d95ba3449968c2f104b525bc2","Kuressaare")</f>
        <v>Kuressaare</v>
      </c>
      <c r="L70" s="488" t="str">
        <f>HYPERLINK("http://esvl.ee/uus/wp-content/uploads/2018/03/ESVL-51-Sportm%C3%A4ngud-Juhend.docx","juh")</f>
        <v>juh</v>
      </c>
      <c r="M70" s="393"/>
      <c r="N70" s="356"/>
      <c r="P70" s="50"/>
      <c r="Q70" s="50"/>
      <c r="R70" s="50"/>
      <c r="S70" s="43"/>
    </row>
    <row r="71" spans="1:19" s="7" customFormat="1" ht="13.5" thickTop="1" x14ac:dyDescent="0.2">
      <c r="A71" s="289"/>
      <c r="B71" s="305">
        <v>6</v>
      </c>
      <c r="C71" s="289"/>
      <c r="D71" s="305">
        <v>7</v>
      </c>
      <c r="E71" s="289"/>
      <c r="F71" s="305">
        <v>8</v>
      </c>
      <c r="G71" s="106"/>
      <c r="H71" s="305">
        <v>9</v>
      </c>
      <c r="I71" s="878" t="s">
        <v>196</v>
      </c>
      <c r="J71" s="305">
        <v>10</v>
      </c>
      <c r="K71" s="1225" t="str">
        <f>HYPERLINK("http://www.petanque.ee/index.php?id=103589&amp;cid=582","7. Valge Daam, ")</f>
        <v xml:space="preserve">7. Valge Daam, </v>
      </c>
      <c r="L71" s="305">
        <v>11</v>
      </c>
      <c r="M71" s="1225" t="str">
        <f>HYPERLINK("http://www.petanque.ee/index.php?id=103589&amp;cid=583","7. Valge Daam, ")</f>
        <v xml:space="preserve">7. Valge Daam, </v>
      </c>
      <c r="N71" s="349">
        <v>12</v>
      </c>
      <c r="O71" s="3"/>
      <c r="P71" s="50"/>
      <c r="Q71" s="50"/>
      <c r="R71" s="50"/>
      <c r="S71" s="43"/>
    </row>
    <row r="72" spans="1:19" s="7" customFormat="1" x14ac:dyDescent="0.2">
      <c r="A72" s="289"/>
      <c r="B72" s="284"/>
      <c r="C72" s="289"/>
      <c r="D72" s="284"/>
      <c r="E72" s="289"/>
      <c r="F72" s="284"/>
      <c r="G72" s="376"/>
      <c r="H72" s="284"/>
      <c r="I72" s="877"/>
      <c r="J72" s="324"/>
      <c r="K72" s="1226" t="s">
        <v>195</v>
      </c>
      <c r="L72" s="304" t="str">
        <f>HYPERLINK("https://www.facebook.com/1639012609655522/photos/a.2030841030472676.1073741829.1639012609655522/2246862308870546/?type=3&amp;theater","fot")</f>
        <v>fot</v>
      </c>
      <c r="M72" s="1226" t="s">
        <v>195</v>
      </c>
      <c r="N72" s="286"/>
      <c r="O72" s="3"/>
      <c r="P72" s="50"/>
      <c r="Q72" s="50"/>
      <c r="R72" s="50"/>
      <c r="S72" s="43"/>
    </row>
    <row r="73" spans="1:19" ht="13.5" thickBot="1" x14ac:dyDescent="0.25">
      <c r="A73" s="351"/>
      <c r="B73" s="353"/>
      <c r="C73" s="351"/>
      <c r="D73" s="353"/>
      <c r="E73" s="351"/>
      <c r="F73" s="353"/>
      <c r="G73" s="440"/>
      <c r="H73" s="353"/>
      <c r="I73" s="837" t="str">
        <f>HYPERLINK("https://kaart.delfi.ee//?bookmark=f8094d103086679871eb6f8621cfcd24","Uuskalda (Läänemaa)")</f>
        <v>Uuskalda (Läänemaa)</v>
      </c>
      <c r="J73" s="353"/>
      <c r="K73" s="1227" t="str">
        <f>HYPERLINK("https://kaart.delfi.ee//?bookmark=f8094d103086679871eb6f8621cfcd24","Uuskalda (Läänemaa)")</f>
        <v>Uuskalda (Läänemaa)</v>
      </c>
      <c r="L73" s="353"/>
      <c r="M73" s="1227" t="str">
        <f>HYPERLINK("https://kaart.delfi.ee//?bookmark=f8094d103086679871eb6f8621cfcd24","Uuskalda (Läänemaa)")</f>
        <v>Uuskalda (Läänemaa)</v>
      </c>
      <c r="N73" s="356"/>
      <c r="P73" s="50"/>
      <c r="Q73" s="50"/>
      <c r="R73" s="50"/>
      <c r="S73" s="43"/>
    </row>
    <row r="74" spans="1:19" s="7" customFormat="1" x14ac:dyDescent="0.2">
      <c r="A74" s="289"/>
      <c r="B74" s="305">
        <v>13</v>
      </c>
      <c r="C74" s="289"/>
      <c r="D74" s="305">
        <v>14</v>
      </c>
      <c r="E74" s="1236" t="str">
        <f>HYPERLINK("#V8!G1","Voka 5. KV")</f>
        <v>Voka 5. KV</v>
      </c>
      <c r="F74" s="305">
        <v>15</v>
      </c>
      <c r="G74" s="106"/>
      <c r="H74" s="305">
        <v>16</v>
      </c>
      <c r="I74" s="289"/>
      <c r="J74" s="305">
        <v>17</v>
      </c>
      <c r="K74" s="1402" t="str">
        <f>HYPERLINK("http://www.petanque.ee/index.php?id=103589&amp;cid=586","9. Katariina karikas, ")</f>
        <v xml:space="preserve">9. Katariina karikas, </v>
      </c>
      <c r="L74" s="305">
        <v>18</v>
      </c>
      <c r="M74" s="1210" t="str">
        <f>HYPERLINK("http://www.petanque.ee/index.php?id=103589&amp;cid=587","EPKL reiting,")</f>
        <v>EPKL reiting,</v>
      </c>
      <c r="N74" s="349">
        <v>19</v>
      </c>
      <c r="O74" s="3"/>
      <c r="P74" s="50"/>
      <c r="Q74" s="50"/>
      <c r="R74" s="50"/>
      <c r="S74" s="43"/>
    </row>
    <row r="75" spans="1:19" s="7" customFormat="1" x14ac:dyDescent="0.2">
      <c r="A75" s="289"/>
      <c r="B75" s="52"/>
      <c r="C75" s="289"/>
      <c r="D75" s="52"/>
      <c r="E75" s="1208" t="s">
        <v>304</v>
      </c>
      <c r="F75" s="325"/>
      <c r="G75" s="376"/>
      <c r="H75" s="52"/>
      <c r="I75" s="289"/>
      <c r="J75" s="52"/>
      <c r="K75" s="368" t="s">
        <v>198</v>
      </c>
      <c r="L75" s="52"/>
      <c r="M75" s="1215" t="s">
        <v>198</v>
      </c>
      <c r="N75" s="436"/>
      <c r="O75" s="3"/>
      <c r="P75" s="50"/>
      <c r="Q75" s="50"/>
      <c r="R75" s="50"/>
      <c r="S75" s="43"/>
    </row>
    <row r="76" spans="1:19" s="7" customFormat="1" ht="13.5" thickBot="1" x14ac:dyDescent="0.25">
      <c r="A76" s="351"/>
      <c r="B76" s="353"/>
      <c r="C76" s="351"/>
      <c r="D76" s="353"/>
      <c r="E76" s="1209" t="str">
        <f>HYPERLINK("https://kaart.delfi.ee//?bookmark=ebd616e171f4882941c876d5ba118858","Voka")</f>
        <v>Voka</v>
      </c>
      <c r="F76" s="863"/>
      <c r="G76" s="351"/>
      <c r="H76" s="353"/>
      <c r="I76" s="351"/>
      <c r="J76" s="353"/>
      <c r="K76" s="1227" t="str">
        <f>HYPERLINK("https://kaart.delfi.ee//?bookmark=2bb384d42ffa0c5e5f7907ddcf503cac","Võru")</f>
        <v>Võru</v>
      </c>
      <c r="L76" s="353"/>
      <c r="M76" s="1228" t="str">
        <f>HYPERLINK("https://kaart.delfi.ee//?bookmark=2bb384d42ffa0c5e5f7907ddcf503cac","Võru")</f>
        <v>Võru</v>
      </c>
      <c r="N76" s="356"/>
      <c r="O76" s="3"/>
      <c r="P76" s="43"/>
      <c r="Q76" s="43"/>
      <c r="R76" s="43"/>
      <c r="S76" s="43"/>
    </row>
    <row r="77" spans="1:19" s="7" customFormat="1" ht="12.75" customHeight="1" x14ac:dyDescent="0.2">
      <c r="A77" s="1213" t="str">
        <f>HYPERLINK("#4!J1","I-Viru-")</f>
        <v>I-Viru-</v>
      </c>
      <c r="B77" s="311">
        <v>20</v>
      </c>
      <c r="C77" s="289"/>
      <c r="D77" s="305">
        <v>21</v>
      </c>
      <c r="E77" s="106"/>
      <c r="F77" s="344">
        <v>22</v>
      </c>
      <c r="G77" s="106"/>
      <c r="H77" s="305">
        <v>23</v>
      </c>
      <c r="I77" s="289"/>
      <c r="J77" s="305">
        <v>24</v>
      </c>
      <c r="K77" s="916"/>
      <c r="L77" s="347">
        <v>25</v>
      </c>
      <c r="M77" s="1229" t="str">
        <f>HYPERLINK("#11!J1","K-Järve 19. MV, ")</f>
        <v xml:space="preserve">K-Järve 19. MV, </v>
      </c>
      <c r="N77" s="344">
        <v>26</v>
      </c>
      <c r="O77" s="3"/>
      <c r="P77" s="51"/>
      <c r="Q77" s="51"/>
      <c r="R77" s="51"/>
      <c r="S77" s="43"/>
    </row>
    <row r="78" spans="1:19" s="51" customFormat="1" ht="12.75" customHeight="1" x14ac:dyDescent="0.2">
      <c r="A78" s="1233" t="s">
        <v>341</v>
      </c>
      <c r="B78" s="301"/>
      <c r="C78" s="289"/>
      <c r="D78" s="284"/>
      <c r="E78" s="106"/>
      <c r="F78" s="284"/>
      <c r="G78" s="106"/>
      <c r="H78" s="284"/>
      <c r="I78" s="289"/>
      <c r="J78" s="284"/>
      <c r="K78" s="376"/>
      <c r="L78" s="284"/>
      <c r="M78" s="1230" t="s">
        <v>199</v>
      </c>
      <c r="N78" s="900"/>
      <c r="O78" s="50"/>
      <c r="S78" s="50"/>
    </row>
    <row r="79" spans="1:19" s="7" customFormat="1" x14ac:dyDescent="0.2">
      <c r="A79" s="1233" t="s">
        <v>201</v>
      </c>
      <c r="B79" s="301"/>
      <c r="C79" s="289"/>
      <c r="D79" s="284"/>
      <c r="E79" s="289"/>
      <c r="F79" s="284"/>
      <c r="G79" s="289"/>
      <c r="H79" s="284"/>
      <c r="I79" s="289"/>
      <c r="J79" s="284"/>
      <c r="K79" s="910"/>
      <c r="L79" s="917"/>
      <c r="M79" s="1207" t="str">
        <f>HYPERLINK("https://kaart.delfi.ee/?bookmark=521b80d6ceeefbe3e5d227267242b576","K-Järve")</f>
        <v>K-Järve</v>
      </c>
      <c r="N79" s="409"/>
      <c r="O79" s="3"/>
      <c r="P79" s="51"/>
      <c r="S79" s="283"/>
    </row>
    <row r="80" spans="1:19" s="51" customFormat="1" x14ac:dyDescent="0.2">
      <c r="A80" s="1234" t="str">
        <f>HYPERLINK("https://kaart.delfi.ee//?bookmark=ebd616e171f4882941c876d5ba118858","Voka")</f>
        <v>Voka</v>
      </c>
      <c r="B80" s="301"/>
      <c r="C80" s="289"/>
      <c r="D80" s="284"/>
      <c r="E80" s="289"/>
      <c r="F80" s="284"/>
      <c r="G80" s="289"/>
      <c r="H80" s="284"/>
      <c r="I80" s="289"/>
      <c r="J80" s="284"/>
      <c r="K80" s="403" t="str">
        <f>HYPERLINK("https://www.facebook.com/events/102791120559198/","5. Warriors Cup, TRIO")</f>
        <v>5. Warriors Cup, TRIO</v>
      </c>
      <c r="L80" s="911"/>
      <c r="M80" s="912" t="s">
        <v>772</v>
      </c>
      <c r="N80" s="913"/>
      <c r="O80" s="50"/>
      <c r="S80" s="283"/>
    </row>
    <row r="81" spans="1:20" s="285" customFormat="1" ht="13.5" thickBot="1" x14ac:dyDescent="0.25">
      <c r="A81" s="1235"/>
      <c r="B81" s="902"/>
      <c r="C81" s="908"/>
      <c r="D81" s="909"/>
      <c r="E81" s="903"/>
      <c r="F81" s="903"/>
      <c r="G81" s="908"/>
      <c r="H81" s="909"/>
      <c r="I81" s="903"/>
      <c r="J81" s="903"/>
      <c r="K81" s="904" t="str">
        <f>HYPERLINK("http://petanque.lv/events/284/warriors-cup-1-diena/","Upsiema (Läti)")</f>
        <v>Upsiema (Läti)</v>
      </c>
      <c r="L81" s="905" t="str">
        <f>HYPERLINK("https://www.facebook.com/eestipetank/photos/a.125932667435031.17667.125902000771431/1597399033621713/?type=3","pos")</f>
        <v>pos</v>
      </c>
      <c r="M81" s="906" t="str">
        <f>HYPERLINK("http://petanque.lv/events/284/warriors-cup-1-diena/","Upsiema (Läti)")</f>
        <v>Upsiema (Läti)</v>
      </c>
      <c r="N81" s="907"/>
      <c r="O81" s="283"/>
      <c r="Q81" s="901"/>
      <c r="R81" s="304"/>
      <c r="S81" s="283"/>
      <c r="T81" s="901"/>
    </row>
    <row r="82" spans="1:20" ht="13.5" customHeight="1" thickBot="1" x14ac:dyDescent="0.25">
      <c r="A82" s="4" t="s">
        <v>67</v>
      </c>
      <c r="B82" s="8"/>
      <c r="C82" s="44"/>
      <c r="D82" s="6"/>
      <c r="E82" s="53"/>
      <c r="F82" s="6"/>
      <c r="G82" s="53"/>
      <c r="H82" s="11"/>
      <c r="I82" s="53"/>
      <c r="J82" s="11"/>
      <c r="K82" s="53"/>
      <c r="L82" s="6"/>
      <c r="M82" s="9"/>
      <c r="N82" s="6"/>
      <c r="P82" s="51"/>
      <c r="Q82" s="51"/>
      <c r="R82" s="283"/>
      <c r="S82" s="283"/>
      <c r="T82" s="283"/>
    </row>
    <row r="83" spans="1:20" ht="12.75" customHeight="1" x14ac:dyDescent="0.2">
      <c r="A83" s="357"/>
      <c r="B83" s="347">
        <v>27</v>
      </c>
      <c r="C83" s="357"/>
      <c r="D83" s="347">
        <v>28</v>
      </c>
      <c r="E83" s="401"/>
      <c r="F83" s="347">
        <v>29</v>
      </c>
      <c r="G83" s="357"/>
      <c r="H83" s="347">
        <v>30</v>
      </c>
      <c r="I83" s="357"/>
      <c r="J83" s="463">
        <v>31</v>
      </c>
      <c r="K83" s="864" t="str">
        <f>HYPERLINK("http://www.petanque.ee/index.php?id=103589&amp;cid=601","25. Eesti-Soome ")</f>
        <v xml:space="preserve">25. Eesti-Soome </v>
      </c>
      <c r="L83" s="347">
        <v>1</v>
      </c>
      <c r="M83" s="1203" t="str">
        <f>HYPERLINK("#V9!G1","Voka 5. KV")</f>
        <v>Voka 5. KV</v>
      </c>
      <c r="N83" s="344">
        <v>2</v>
      </c>
      <c r="P83" s="51"/>
      <c r="Q83" s="51"/>
      <c r="R83" s="283"/>
      <c r="S83" s="283"/>
      <c r="T83" s="283"/>
    </row>
    <row r="84" spans="1:20" ht="12.75" customHeight="1" x14ac:dyDescent="0.2">
      <c r="A84" s="289"/>
      <c r="B84" s="284"/>
      <c r="C84" s="289"/>
      <c r="D84" s="284"/>
      <c r="E84" s="289"/>
      <c r="F84" s="284"/>
      <c r="G84" s="289"/>
      <c r="H84" s="284"/>
      <c r="I84" s="289"/>
      <c r="J84" s="464"/>
      <c r="K84" s="865" t="s">
        <v>296</v>
      </c>
      <c r="L84" s="284"/>
      <c r="M84" s="1208" t="s">
        <v>305</v>
      </c>
      <c r="N84" s="875"/>
      <c r="P84" s="43"/>
      <c r="Q84" s="43"/>
      <c r="R84" s="283"/>
      <c r="S84" s="283"/>
      <c r="T84" s="283"/>
    </row>
    <row r="85" spans="1:20" ht="13.5" customHeight="1" thickBot="1" x14ac:dyDescent="0.25">
      <c r="A85" s="451"/>
      <c r="B85" s="452"/>
      <c r="C85" s="451"/>
      <c r="D85" s="452"/>
      <c r="E85" s="453"/>
      <c r="F85" s="452"/>
      <c r="G85" s="451"/>
      <c r="H85" s="452"/>
      <c r="I85" s="451"/>
      <c r="J85" s="454"/>
      <c r="K85" s="866" t="str">
        <f>HYPERLINK("https://www.google.ee/maps/place/Helsinki+Petanque+ry/@60.1950772,24.9316961,17z/data=!4m5!3m4!1s0x4692098edf6b09d7:0x4061cfaf56b49fdc!8m2!3d60.1948173!4d24.9329554","Helsingi (Soome)")</f>
        <v>Helsingi (Soome)</v>
      </c>
      <c r="L85" s="353"/>
      <c r="M85" s="1209" t="str">
        <f>HYPERLINK("https://kaart.delfi.ee//?bookmark=ebd616e171f4882941c876d5ba118858","Voka")</f>
        <v>Voka</v>
      </c>
      <c r="N85" s="876"/>
      <c r="P85" s="43"/>
      <c r="Q85" s="43"/>
      <c r="R85" s="283"/>
      <c r="S85" s="283"/>
      <c r="T85" s="283"/>
    </row>
    <row r="86" spans="1:20" ht="13.5" thickTop="1" x14ac:dyDescent="0.2">
      <c r="A86" s="289"/>
      <c r="B86" s="305">
        <v>3</v>
      </c>
      <c r="C86" s="289"/>
      <c r="D86" s="305">
        <v>4</v>
      </c>
      <c r="E86" s="289"/>
      <c r="F86" s="305">
        <v>5</v>
      </c>
      <c r="G86" s="289"/>
      <c r="H86" s="305">
        <v>6</v>
      </c>
      <c r="I86" s="289"/>
      <c r="J86" s="305">
        <v>7</v>
      </c>
      <c r="K86" s="1210" t="str">
        <f>HYPERLINK("http://www.petanque.ee/index.php?id=103589&amp;cid=588","27. Eesti MV, ")</f>
        <v xml:space="preserve">27. Eesti MV, </v>
      </c>
      <c r="L86" s="305">
        <v>8</v>
      </c>
      <c r="M86" s="1210" t="str">
        <f>HYPERLINK("http://www.petanque.ee/index.php?id=103589&amp;cid=589","EPKL reiting,")</f>
        <v>EPKL reiting,</v>
      </c>
      <c r="N86" s="349">
        <v>9</v>
      </c>
      <c r="P86" s="43"/>
      <c r="Q86" s="43"/>
      <c r="R86" s="283"/>
      <c r="S86" s="283"/>
      <c r="T86" s="283"/>
    </row>
    <row r="87" spans="1:20" s="283" customFormat="1" ht="12.75" customHeight="1" x14ac:dyDescent="0.2">
      <c r="A87" s="289"/>
      <c r="B87" s="52"/>
      <c r="C87" s="289"/>
      <c r="D87" s="52"/>
      <c r="E87" s="289"/>
      <c r="F87" s="284"/>
      <c r="G87" s="289"/>
      <c r="H87" s="52"/>
      <c r="I87" s="289"/>
      <c r="J87" s="52"/>
      <c r="K87" s="1215" t="s">
        <v>198</v>
      </c>
      <c r="L87" s="52"/>
      <c r="M87" s="1211" t="s">
        <v>199</v>
      </c>
      <c r="N87" s="348"/>
    </row>
    <row r="88" spans="1:20" s="283" customFormat="1" ht="13.5" customHeight="1" thickBot="1" x14ac:dyDescent="0.25">
      <c r="A88" s="351"/>
      <c r="B88" s="362"/>
      <c r="C88" s="351"/>
      <c r="D88" s="362"/>
      <c r="E88" s="908"/>
      <c r="F88" s="353"/>
      <c r="G88" s="908"/>
      <c r="H88" s="362"/>
      <c r="I88" s="351"/>
      <c r="J88" s="362"/>
      <c r="K88" s="1212" t="str">
        <f>HYPERLINK("https://kaart.delfi.ee/?bookmark=78de0fb2613cdaa764ec35efb54e0b69","Saku")</f>
        <v>Saku</v>
      </c>
      <c r="L88" s="353"/>
      <c r="M88" s="1212" t="str">
        <f>HYPERLINK("https://kaart.delfi.ee/?bookmark=78de0fb2613cdaa764ec35efb54e0b69","Saku")</f>
        <v>Saku</v>
      </c>
      <c r="N88" s="356"/>
    </row>
    <row r="89" spans="1:20" x14ac:dyDescent="0.2">
      <c r="A89" s="289"/>
      <c r="B89" s="305">
        <v>10</v>
      </c>
      <c r="C89" s="289"/>
      <c r="D89" s="305">
        <v>11</v>
      </c>
      <c r="E89" s="289"/>
      <c r="F89" s="305">
        <v>12</v>
      </c>
      <c r="G89" s="289"/>
      <c r="H89" s="305">
        <v>13</v>
      </c>
      <c r="I89" s="289"/>
      <c r="J89" s="305">
        <v>14</v>
      </c>
      <c r="K89" s="1216" t="str">
        <f>HYPERLINK("#V10!o1","Voka 5. KV")</f>
        <v>Voka 5. KV</v>
      </c>
      <c r="L89" s="305">
        <v>15</v>
      </c>
      <c r="M89" s="1213" t="str">
        <f>HYPERLINK("#12!J1","K-Järve 17. MV, ")</f>
        <v xml:space="preserve">K-Järve 17. MV, </v>
      </c>
      <c r="N89" s="349">
        <v>16</v>
      </c>
    </row>
    <row r="90" spans="1:20" s="50" customFormat="1" ht="12.75" customHeight="1" x14ac:dyDescent="0.2">
      <c r="A90" s="289"/>
      <c r="B90" s="52"/>
      <c r="C90" s="289"/>
      <c r="D90" s="52"/>
      <c r="E90" s="289"/>
      <c r="F90" s="52"/>
      <c r="G90" s="289"/>
      <c r="H90" s="348"/>
      <c r="I90" s="289"/>
      <c r="J90" s="52"/>
      <c r="K90" s="1208" t="s">
        <v>306</v>
      </c>
      <c r="L90" s="325"/>
      <c r="M90" s="1214" t="s">
        <v>198</v>
      </c>
      <c r="N90" s="408"/>
    </row>
    <row r="91" spans="1:20" s="283" customFormat="1" ht="12.75" customHeight="1" x14ac:dyDescent="0.2">
      <c r="A91" s="289"/>
      <c r="B91" s="52"/>
      <c r="C91" s="289"/>
      <c r="D91" s="52"/>
      <c r="E91" s="289"/>
      <c r="F91" s="52"/>
      <c r="G91" s="289"/>
      <c r="H91" s="348"/>
      <c r="I91" s="289"/>
      <c r="J91" s="52"/>
      <c r="K91" s="1217" t="str">
        <f>HYPERLINK("https://kaart.delfi.ee//?bookmark=ebd616e171f4882941c876d5ba118858","Voka")</f>
        <v>Voka</v>
      </c>
      <c r="L91" s="325"/>
      <c r="M91" s="1213" t="str">
        <f>HYPERLINK("https://kaart.delfi.ee/?bookmark=521b80d6ceeefbe3e5d227267242b576","K-Järve")</f>
        <v>K-Järve</v>
      </c>
      <c r="N91" s="408"/>
    </row>
    <row r="92" spans="1:20" s="283" customFormat="1" ht="12.75" customHeight="1" x14ac:dyDescent="0.2">
      <c r="A92" s="289"/>
      <c r="B92" s="52"/>
      <c r="C92" s="289"/>
      <c r="D92" s="52"/>
      <c r="E92" s="289"/>
      <c r="F92" s="52"/>
      <c r="G92" s="289"/>
      <c r="H92" s="52"/>
      <c r="I92" s="289"/>
      <c r="J92" s="52"/>
      <c r="K92" s="921"/>
      <c r="L92" s="325"/>
      <c r="M92" s="916" t="str">
        <f>HYPERLINK("https://www.facebook.com/events/285058095615246/","A.Sirkeli mälestusv., DUO")</f>
        <v>A.Sirkeli mälestusv., DUO</v>
      </c>
      <c r="N92" s="390"/>
      <c r="O92" s="49" t="s">
        <v>173</v>
      </c>
    </row>
    <row r="93" spans="1:20" s="50" customFormat="1" x14ac:dyDescent="0.2">
      <c r="A93" s="289"/>
      <c r="B93" s="52"/>
      <c r="C93" s="289"/>
      <c r="D93" s="52"/>
      <c r="E93" s="289"/>
      <c r="F93" s="52"/>
      <c r="G93" s="374"/>
      <c r="H93" s="322"/>
      <c r="I93" s="374"/>
      <c r="J93" s="322"/>
      <c r="K93" s="922"/>
      <c r="L93" s="923"/>
      <c r="M93" s="432" t="str">
        <f>HYPERLINK("https://kaart.delfi.ee//?bookmark=bee81632cfb73aa0d24153a91307e1bb","Tartu, Raadi")</f>
        <v>Tartu, Raadi</v>
      </c>
      <c r="N93" s="879"/>
    </row>
    <row r="94" spans="1:20" s="50" customFormat="1" x14ac:dyDescent="0.2">
      <c r="A94" s="289"/>
      <c r="B94" s="52"/>
      <c r="C94" s="289"/>
      <c r="D94" s="52"/>
      <c r="E94" s="289"/>
      <c r="F94" s="52"/>
      <c r="G94" s="399"/>
      <c r="H94" s="327"/>
      <c r="I94" s="328"/>
      <c r="J94" s="327"/>
      <c r="K94" s="329" t="s">
        <v>72</v>
      </c>
      <c r="L94" s="327"/>
      <c r="M94" s="330"/>
      <c r="N94" s="443"/>
    </row>
    <row r="95" spans="1:20" ht="13.5" thickBot="1" x14ac:dyDescent="0.25">
      <c r="A95" s="351"/>
      <c r="B95" s="353"/>
      <c r="C95" s="351"/>
      <c r="D95" s="353"/>
      <c r="E95" s="351"/>
      <c r="F95" s="353"/>
      <c r="G95" s="351"/>
      <c r="H95" s="424" t="str">
        <f>HYPERLINK("https://www.google.com/maps/place/Desbiens,+QC,+Canada/@48.402379,-71.9881727,13z/data=!3m1!4b1!4m5!3m4!1s0x4cc1e87089706979:0x47c3fd5b03cbadb7!8m2!3d48.4177323!4d-71.9489606","Desbiens City (Kanada)")</f>
        <v>Desbiens City (Kanada)</v>
      </c>
      <c r="I95" s="445"/>
      <c r="J95" s="445"/>
      <c r="K95" s="424"/>
      <c r="L95" s="445"/>
      <c r="M95" s="996" t="str">
        <f>HYPERLINK("http://fipjp.org/index.php/en/world-championships","tulemused")</f>
        <v>tulemused</v>
      </c>
      <c r="N95" s="447"/>
    </row>
    <row r="96" spans="1:20" x14ac:dyDescent="0.2">
      <c r="A96" s="289"/>
      <c r="B96" s="305">
        <v>17</v>
      </c>
      <c r="C96" s="289"/>
      <c r="D96" s="305">
        <v>18</v>
      </c>
      <c r="E96" s="404"/>
      <c r="F96" s="305">
        <v>19</v>
      </c>
      <c r="G96" s="289"/>
      <c r="H96" s="305">
        <v>20</v>
      </c>
      <c r="I96" s="357"/>
      <c r="J96" s="305">
        <v>21</v>
      </c>
      <c r="K96" s="343" t="s">
        <v>661</v>
      </c>
      <c r="L96" s="305">
        <v>22</v>
      </c>
      <c r="M96" s="1203" t="str">
        <f>HYPERLINK("#'V-Fin'!K1","Voka 5.KV finaal,ÜKSIK")</f>
        <v>Voka 5.KV finaal,ÜKSIK</v>
      </c>
      <c r="N96" s="349">
        <v>23</v>
      </c>
      <c r="P96" s="283"/>
    </row>
    <row r="97" spans="1:16" s="50" customFormat="1" ht="12.75" hidden="1" customHeight="1" x14ac:dyDescent="0.2">
      <c r="A97" s="289"/>
      <c r="B97" s="52"/>
      <c r="C97" s="289"/>
      <c r="D97" s="52"/>
      <c r="E97" s="289"/>
      <c r="F97" s="52"/>
      <c r="G97" s="289"/>
      <c r="H97" s="52"/>
      <c r="I97" s="289"/>
      <c r="J97" s="52"/>
      <c r="K97" s="376"/>
      <c r="L97" s="284"/>
      <c r="M97" s="430" t="s">
        <v>201</v>
      </c>
      <c r="N97" s="924"/>
      <c r="O97" s="107"/>
      <c r="P97" s="283"/>
    </row>
    <row r="98" spans="1:16" s="283" customFormat="1" x14ac:dyDescent="0.2">
      <c r="A98" s="289"/>
      <c r="B98" s="52"/>
      <c r="C98" s="289"/>
      <c r="D98" s="52"/>
      <c r="E98" s="289"/>
      <c r="F98" s="52"/>
      <c r="G98" s="289"/>
      <c r="H98" s="52"/>
      <c r="I98" s="289"/>
      <c r="J98" s="52"/>
      <c r="K98" s="376" t="s">
        <v>425</v>
      </c>
      <c r="L98" s="284"/>
      <c r="M98" s="1204" t="str">
        <f>HYPERLINK("#'V-F-PL'!AA1","Voka pliks-plaks, ÜKSIK")</f>
        <v>Voka pliks-plaks, ÜKSIK</v>
      </c>
      <c r="N98" s="924"/>
      <c r="O98" s="107"/>
    </row>
    <row r="99" spans="1:16" s="283" customFormat="1" x14ac:dyDescent="0.2">
      <c r="A99" s="289"/>
      <c r="B99" s="52"/>
      <c r="C99" s="289"/>
      <c r="D99" s="52"/>
      <c r="E99" s="289"/>
      <c r="F99" s="52"/>
      <c r="G99" s="289"/>
      <c r="H99" s="52"/>
      <c r="I99" s="289"/>
      <c r="J99" s="52"/>
      <c r="K99" s="1218" t="str">
        <f>HYPERLINK("https://kaart.delfi.ee//?bookmark=36ee67ba7cba151859305c222805d114","Saku")</f>
        <v>Saku</v>
      </c>
      <c r="L99" s="284"/>
      <c r="M99" s="1204" t="str">
        <f>HYPERLINK("#'V-F-as'!q1","Voka asetus, ÜKSIK")</f>
        <v>Voka asetus, ÜKSIK</v>
      </c>
      <c r="N99" s="924"/>
      <c r="O99" s="107"/>
    </row>
    <row r="100" spans="1:16" ht="13.5" thickBot="1" x14ac:dyDescent="0.25">
      <c r="A100" s="351"/>
      <c r="B100" s="353"/>
      <c r="C100" s="351"/>
      <c r="D100" s="353"/>
      <c r="E100" s="411"/>
      <c r="F100" s="353"/>
      <c r="G100" s="351"/>
      <c r="H100" s="353"/>
      <c r="I100" s="351"/>
      <c r="J100" s="421"/>
      <c r="K100" s="439"/>
      <c r="L100" s="353"/>
      <c r="M100" s="1205" t="str">
        <f>HYPERLINK("https://kaart.delfi.ee//?bookmark=ebd616e171f4882941c876d5ba118858","Voka")</f>
        <v>Voka</v>
      </c>
      <c r="N100" s="863"/>
      <c r="O100" s="107"/>
    </row>
    <row r="101" spans="1:16" ht="12.75" customHeight="1" x14ac:dyDescent="0.2">
      <c r="A101" s="357"/>
      <c r="B101" s="347">
        <v>24</v>
      </c>
      <c r="C101" s="357"/>
      <c r="D101" s="347">
        <v>25</v>
      </c>
      <c r="E101" s="357"/>
      <c r="F101" s="347">
        <v>26</v>
      </c>
      <c r="G101" s="357"/>
      <c r="H101" s="347">
        <v>27</v>
      </c>
      <c r="I101" s="357"/>
      <c r="J101" s="347">
        <v>28</v>
      </c>
      <c r="K101" s="1219" t="str">
        <f>HYPERLINK("#'V-Ex'!K1","Ekstreempetank, ")</f>
        <v xml:space="preserve">Ekstreempetank, </v>
      </c>
      <c r="L101" s="347">
        <v>29</v>
      </c>
      <c r="M101" s="1380" t="str">
        <f>HYPERLINK("#13!L1","K-Järve 19. MV, ")</f>
        <v xml:space="preserve">K-Järve 19. MV, </v>
      </c>
      <c r="N101" s="344">
        <v>30</v>
      </c>
    </row>
    <row r="102" spans="1:16" s="50" customFormat="1" ht="12.75" customHeight="1" x14ac:dyDescent="0.2">
      <c r="A102" s="289"/>
      <c r="B102" s="52"/>
      <c r="C102" s="289"/>
      <c r="D102" s="52"/>
      <c r="E102" s="289"/>
      <c r="F102" s="52"/>
      <c r="G102" s="289"/>
      <c r="H102" s="52"/>
      <c r="I102" s="289"/>
      <c r="J102" s="52"/>
      <c r="K102" s="1220" t="s">
        <v>201</v>
      </c>
      <c r="L102" s="997"/>
      <c r="M102" s="1206" t="s">
        <v>201</v>
      </c>
      <c r="N102" s="408"/>
    </row>
    <row r="103" spans="1:16" s="50" customFormat="1" x14ac:dyDescent="0.2">
      <c r="A103" s="289"/>
      <c r="B103" s="52"/>
      <c r="C103" s="289"/>
      <c r="D103" s="52"/>
      <c r="E103" s="289"/>
      <c r="F103" s="52"/>
      <c r="G103" s="289"/>
      <c r="H103" s="52"/>
      <c r="I103" s="448"/>
      <c r="J103" s="331"/>
      <c r="K103" s="1221" t="str">
        <f>HYPERLINK("https://kaart.delfi.ee//?bookmark=ebd616e171f4882941c876d5ba118858","Voka")</f>
        <v>Voka</v>
      </c>
      <c r="L103" s="998"/>
      <c r="M103" s="1207" t="str">
        <f>HYPERLINK("https://kaart.delfi.ee/?bookmark=521b80d6ceeefbe3e5d227267242b576","K-Järve")</f>
        <v>K-Järve</v>
      </c>
      <c r="N103" s="409"/>
    </row>
    <row r="104" spans="1:16" x14ac:dyDescent="0.2">
      <c r="A104" s="289"/>
      <c r="B104" s="284"/>
      <c r="C104" s="289"/>
      <c r="D104" s="284"/>
      <c r="E104" s="289"/>
      <c r="F104" s="284"/>
      <c r="G104" s="449"/>
      <c r="H104" s="332"/>
      <c r="I104" s="867"/>
      <c r="J104" s="868"/>
      <c r="K104" s="1034" t="str">
        <f>HYPERLINK("http://www.cep-petanque.com/women.html","9. Naiste EM, TRIO, TUL")</f>
        <v>9. Naiste EM, TRIO, TUL</v>
      </c>
      <c r="L104" s="869"/>
      <c r="M104" s="867"/>
      <c r="N104" s="444"/>
    </row>
    <row r="105" spans="1:16" ht="13.5" thickBot="1" x14ac:dyDescent="0.25">
      <c r="A105" s="351"/>
      <c r="B105" s="353"/>
      <c r="C105" s="351"/>
      <c r="D105" s="353"/>
      <c r="E105" s="351"/>
      <c r="F105" s="353"/>
      <c r="G105" s="450"/>
      <c r="H105" s="424" t="str">
        <f>HYPERLINK("https://www.google.co.uk/maps/place/34250+Palavas-les-Flots,+France/@43.5321902,3.8995831,13z/data=!3m1!4b1!4m5!3m4!1s0x12b6baf4a5683725:0xb90ed85ee9f1935a!8m2!3d43.528906!4d3.933493","Palavas les Flots (Prantsusmaa)")</f>
        <v>Palavas les Flots (Prantsusmaa)</v>
      </c>
      <c r="I105" s="445"/>
      <c r="J105" s="445"/>
      <c r="K105" s="424"/>
      <c r="L105" s="445"/>
      <c r="M105" s="446"/>
      <c r="N105" s="356"/>
    </row>
    <row r="106" spans="1:16" s="12" customFormat="1" ht="13.5" thickBot="1" x14ac:dyDescent="0.25">
      <c r="A106" s="46" t="s">
        <v>68</v>
      </c>
      <c r="B106" s="8"/>
      <c r="C106" s="44"/>
      <c r="D106" s="6"/>
      <c r="E106" s="53"/>
      <c r="F106" s="6"/>
      <c r="G106" s="53"/>
      <c r="H106" s="6"/>
      <c r="I106" s="53"/>
      <c r="J106" s="6"/>
      <c r="K106" s="53"/>
      <c r="L106" s="6"/>
      <c r="M106" s="53"/>
      <c r="N106" s="6"/>
    </row>
    <row r="107" spans="1:16" x14ac:dyDescent="0.2">
      <c r="A107" s="357"/>
      <c r="B107" s="347">
        <v>1</v>
      </c>
      <c r="C107" s="357"/>
      <c r="D107" s="347">
        <v>2</v>
      </c>
      <c r="E107" s="357"/>
      <c r="F107" s="347">
        <v>3</v>
      </c>
      <c r="G107" s="458"/>
      <c r="H107" s="347">
        <v>4</v>
      </c>
      <c r="I107" s="357"/>
      <c r="J107" s="347">
        <v>5</v>
      </c>
      <c r="K107" s="458"/>
      <c r="L107" s="347">
        <v>6</v>
      </c>
      <c r="M107" s="458"/>
      <c r="N107" s="344">
        <v>7</v>
      </c>
    </row>
    <row r="108" spans="1:16" s="50" customFormat="1" hidden="1" x14ac:dyDescent="0.2">
      <c r="A108" s="289"/>
      <c r="B108" s="52"/>
      <c r="C108" s="289"/>
      <c r="D108" s="52"/>
      <c r="E108" s="289"/>
      <c r="F108" s="52"/>
      <c r="G108" s="459"/>
      <c r="H108" s="52"/>
      <c r="I108" s="289"/>
      <c r="J108" s="52"/>
      <c r="K108" s="459"/>
      <c r="L108" s="52"/>
      <c r="M108" s="459"/>
      <c r="N108" s="348"/>
    </row>
    <row r="109" spans="1:16" s="50" customFormat="1" hidden="1" x14ac:dyDescent="0.2">
      <c r="A109" s="289"/>
      <c r="B109" s="52"/>
      <c r="C109" s="289"/>
      <c r="D109" s="52"/>
      <c r="E109" s="289"/>
      <c r="F109" s="52"/>
      <c r="G109" s="459"/>
      <c r="H109" s="52"/>
      <c r="I109" s="289"/>
      <c r="J109" s="52"/>
      <c r="K109" s="459"/>
      <c r="L109" s="52"/>
      <c r="M109" s="459"/>
      <c r="N109" s="879"/>
    </row>
    <row r="110" spans="1:16" s="50" customFormat="1" x14ac:dyDescent="0.2">
      <c r="A110" s="289"/>
      <c r="B110" s="52"/>
      <c r="C110" s="289"/>
      <c r="D110" s="52"/>
      <c r="E110" s="289"/>
      <c r="F110" s="52"/>
      <c r="G110" s="459"/>
      <c r="H110" s="348"/>
      <c r="I110" s="328"/>
      <c r="J110" s="327"/>
      <c r="K110" s="333"/>
      <c r="L110" s="1400" t="s">
        <v>71</v>
      </c>
      <c r="M110" s="335"/>
      <c r="N110" s="1035" t="str">
        <f>HYPERLINK("http://cep-petanque.com/singles_m.html","m")</f>
        <v>m</v>
      </c>
    </row>
    <row r="111" spans="1:16" s="50" customFormat="1" ht="13.5" thickBot="1" x14ac:dyDescent="0.25">
      <c r="A111" s="351"/>
      <c r="B111" s="353"/>
      <c r="C111" s="351"/>
      <c r="D111" s="353"/>
      <c r="E111" s="351"/>
      <c r="F111" s="353"/>
      <c r="G111" s="435"/>
      <c r="H111" s="356"/>
      <c r="I111" s="1009"/>
      <c r="J111" s="1010"/>
      <c r="K111" s="424"/>
      <c r="L111" s="1008" t="str">
        <f>HYPERLINK("https://www.google.fr/maps/place/Via+del+Sole,+2,+12038+Savigliano+CN,+Italy/@44.6427058,7.6518128,17z/data=!4m5!3m4!1s0x12cd51a766dc8da3:0x8adff9f9d225ab3f!8m2!3d44.6442325!4d7.6544038?dcr=0","Savigliano (Itaalia)")</f>
        <v>Savigliano (Itaalia)</v>
      </c>
      <c r="M111" s="462"/>
      <c r="N111" s="1036" t="str">
        <f>HYPERLINK("http://cep-petanque.com/singles_w.html","n")</f>
        <v>n</v>
      </c>
    </row>
    <row r="112" spans="1:16" x14ac:dyDescent="0.2">
      <c r="A112" s="357"/>
      <c r="B112" s="347">
        <v>8</v>
      </c>
      <c r="C112" s="357"/>
      <c r="D112" s="347">
        <v>9</v>
      </c>
      <c r="E112" s="357"/>
      <c r="F112" s="347">
        <v>10</v>
      </c>
      <c r="G112" s="357"/>
      <c r="H112" s="347">
        <v>11</v>
      </c>
      <c r="I112" s="357"/>
      <c r="J112" s="347">
        <v>12</v>
      </c>
      <c r="K112" s="357"/>
      <c r="L112" s="347">
        <v>13</v>
      </c>
      <c r="M112" s="1302" t="str">
        <f>HYPERLINK("#L!W1","Hooaja lõpetamine")</f>
        <v>Hooaja lõpetamine</v>
      </c>
      <c r="N112" s="344">
        <v>14</v>
      </c>
      <c r="P112" s="50"/>
    </row>
    <row r="113" spans="1:16" s="50" customFormat="1" x14ac:dyDescent="0.2">
      <c r="A113" s="289"/>
      <c r="B113" s="52"/>
      <c r="C113" s="289"/>
      <c r="D113" s="52"/>
      <c r="E113" s="289"/>
      <c r="F113" s="465"/>
      <c r="G113" s="284"/>
      <c r="H113" s="52"/>
      <c r="I113" s="289"/>
      <c r="J113" s="52"/>
      <c r="K113" s="289"/>
      <c r="L113" s="52"/>
      <c r="M113" s="460" t="s">
        <v>310</v>
      </c>
      <c r="N113" s="455"/>
    </row>
    <row r="114" spans="1:16" s="50" customFormat="1" x14ac:dyDescent="0.2">
      <c r="A114" s="289"/>
      <c r="B114" s="52"/>
      <c r="C114" s="289"/>
      <c r="D114" s="52"/>
      <c r="E114" s="289"/>
      <c r="F114" s="466"/>
      <c r="G114" s="316"/>
      <c r="H114" s="322"/>
      <c r="I114" s="374"/>
      <c r="J114" s="322"/>
      <c r="K114" s="374"/>
      <c r="L114" s="322"/>
      <c r="M114" s="461" t="str">
        <f>HYPERLINK("https://kaart.delfi.ee/?bookmark=521b80d6ceeefbe3e5d227267242b576","K-Järve")</f>
        <v>K-Järve</v>
      </c>
      <c r="N114" s="456"/>
    </row>
    <row r="115" spans="1:16" s="50" customFormat="1" x14ac:dyDescent="0.2">
      <c r="A115" s="289"/>
      <c r="B115" s="284"/>
      <c r="C115" s="289"/>
      <c r="D115" s="284"/>
      <c r="E115" s="289"/>
      <c r="F115" s="467"/>
      <c r="G115" s="328"/>
      <c r="H115" s="1011"/>
      <c r="I115" s="107"/>
      <c r="J115" s="334" t="s">
        <v>715</v>
      </c>
      <c r="K115" s="328"/>
      <c r="L115" s="327"/>
      <c r="M115" s="328"/>
      <c r="N115" s="457" t="s">
        <v>771</v>
      </c>
    </row>
    <row r="116" spans="1:16" ht="13.5" thickBot="1" x14ac:dyDescent="0.25">
      <c r="A116" s="351"/>
      <c r="B116" s="353"/>
      <c r="C116" s="351"/>
      <c r="D116" s="356"/>
      <c r="E116" s="351"/>
      <c r="F116" s="1303"/>
      <c r="G116" s="393"/>
      <c r="H116" s="1304"/>
      <c r="I116" s="445"/>
      <c r="J116" s="445"/>
      <c r="K116" s="424" t="str">
        <f>HYPERLINK("https://www.google.co.uk/maps/@36.701581,-2.8058041,15z","El Ejido, Almería (Hispaania)")</f>
        <v>El Ejido, Almería (Hispaania)</v>
      </c>
      <c r="L116" s="445"/>
      <c r="M116" s="446"/>
      <c r="N116" s="356"/>
      <c r="P116" s="50"/>
    </row>
    <row r="117" spans="1:16" s="283" customFormat="1" x14ac:dyDescent="0.2">
      <c r="A117" s="284"/>
      <c r="B117" s="284"/>
      <c r="C117" s="284"/>
      <c r="D117" s="284"/>
      <c r="E117" s="284"/>
      <c r="F117" s="284"/>
      <c r="G117" s="284"/>
      <c r="H117" s="284"/>
      <c r="I117" s="284"/>
      <c r="J117" s="1299"/>
      <c r="K117" s="1300"/>
      <c r="L117" s="1301"/>
      <c r="M117" s="284"/>
      <c r="N117" s="284"/>
    </row>
    <row r="118" spans="1:16" x14ac:dyDescent="0.2">
      <c r="A118" s="13" t="s">
        <v>7</v>
      </c>
      <c r="B118" s="14"/>
      <c r="C118" s="15"/>
      <c r="D118" s="15"/>
      <c r="E118" s="14"/>
      <c r="F118" s="14"/>
      <c r="G118" s="15"/>
      <c r="H118" s="15"/>
      <c r="I118" s="15"/>
      <c r="J118" s="15"/>
      <c r="K118" s="15"/>
      <c r="L118" s="15"/>
      <c r="M118" s="15"/>
      <c r="N118" s="14"/>
    </row>
    <row r="119" spans="1:16" x14ac:dyDescent="0.2">
      <c r="A119" s="16" t="s">
        <v>336</v>
      </c>
      <c r="B119" s="14"/>
      <c r="C119" s="15"/>
      <c r="D119" s="15"/>
      <c r="E119" s="14"/>
      <c r="F119" s="14"/>
      <c r="G119" s="15"/>
      <c r="H119" s="15"/>
      <c r="I119" s="15"/>
      <c r="J119" s="15"/>
      <c r="K119" s="15"/>
      <c r="L119" s="15"/>
      <c r="M119" s="15"/>
      <c r="N119" s="14"/>
    </row>
    <row r="120" spans="1:16" hidden="1" x14ac:dyDescent="0.2">
      <c r="A120" s="25" t="s">
        <v>11</v>
      </c>
      <c r="B120" s="17"/>
      <c r="C120" s="17"/>
      <c r="D120" s="17"/>
      <c r="E120" s="18"/>
      <c r="F120" s="18"/>
      <c r="G120" s="17"/>
      <c r="H120" s="17"/>
      <c r="I120" s="17"/>
      <c r="J120" s="17"/>
      <c r="K120" s="17"/>
      <c r="L120" s="17"/>
      <c r="M120" s="17"/>
      <c r="N120" s="18"/>
    </row>
    <row r="121" spans="1:16" x14ac:dyDescent="0.2">
      <c r="A121" s="26" t="s">
        <v>10</v>
      </c>
      <c r="B121" s="20"/>
      <c r="C121" s="20"/>
      <c r="D121" s="20"/>
      <c r="E121" s="20"/>
      <c r="F121" s="20"/>
      <c r="G121" s="20"/>
      <c r="H121" s="20"/>
      <c r="I121" s="20"/>
      <c r="J121" s="19"/>
      <c r="K121" s="19"/>
      <c r="L121" s="19"/>
      <c r="M121" s="19"/>
      <c r="N121" s="21"/>
    </row>
    <row r="122" spans="1:16" s="283" customFormat="1" x14ac:dyDescent="0.2">
      <c r="A122" s="26" t="s">
        <v>339</v>
      </c>
      <c r="B122" s="20"/>
      <c r="C122" s="20"/>
      <c r="D122" s="20"/>
      <c r="E122" s="20"/>
      <c r="F122" s="20"/>
      <c r="G122" s="20"/>
      <c r="H122" s="20"/>
      <c r="I122" s="20"/>
      <c r="J122" s="19"/>
      <c r="K122" s="19"/>
      <c r="L122" s="19"/>
      <c r="M122" s="19"/>
      <c r="N122" s="21"/>
    </row>
    <row r="123" spans="1:16" s="22" customFormat="1" hidden="1" x14ac:dyDescent="0.2">
      <c r="A123" s="23" t="s">
        <v>62</v>
      </c>
      <c r="B123" s="9"/>
      <c r="C123" s="9"/>
      <c r="D123" s="9"/>
      <c r="E123" s="23"/>
      <c r="F123" s="23"/>
      <c r="G123" s="9"/>
      <c r="H123" s="9"/>
      <c r="I123" s="9"/>
      <c r="J123" s="9"/>
      <c r="K123" s="9"/>
      <c r="L123" s="9"/>
      <c r="M123" s="9"/>
      <c r="N123" s="23"/>
    </row>
    <row r="124" spans="1:16" s="22" customFormat="1" x14ac:dyDescent="0.2">
      <c r="A124" s="24" t="s">
        <v>8</v>
      </c>
      <c r="B124" s="9"/>
      <c r="C124" s="9"/>
      <c r="D124" s="9"/>
      <c r="E124" s="23"/>
      <c r="F124" s="23"/>
      <c r="G124" s="9"/>
      <c r="H124" s="9"/>
      <c r="L124" s="9"/>
      <c r="M124" s="9"/>
      <c r="N124" s="27" t="s">
        <v>9</v>
      </c>
    </row>
    <row r="125" spans="1:16" s="22" customFormat="1" x14ac:dyDescent="0.2"/>
    <row r="126" spans="1:16" x14ac:dyDescent="0.2">
      <c r="B126" s="2"/>
      <c r="D126" s="2"/>
      <c r="E126" s="1"/>
      <c r="F126" s="1"/>
      <c r="G126" s="2"/>
      <c r="H126" s="2"/>
      <c r="I126" s="2"/>
      <c r="J126" s="2"/>
      <c r="K126" s="2"/>
      <c r="L126" s="2"/>
      <c r="M126" s="2"/>
      <c r="N126" s="1"/>
    </row>
  </sheetData>
  <hyperlinks>
    <hyperlink ref="K96" r:id="rId1"/>
  </hyperlinks>
  <printOptions horizontalCentered="1"/>
  <pageMargins left="0.27559055118110237" right="0.27559055118110237" top="0.27559055118110237" bottom="0.19685039370078741" header="0.27559055118110237" footer="0"/>
  <pageSetup paperSize="9" fitToHeight="0" orientation="portrait" r:id="rId2"/>
  <headerFooter>
    <oddHeader>&amp;RPage &amp;P of &amp;N</oddHeader>
  </headerFooter>
  <rowBreaks count="1" manualBreakCount="1">
    <brk id="63" max="16383" man="1"/>
  </rowBreaks>
  <ignoredErrors>
    <ignoredError sqref="L10"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CC00"/>
    <pageSetUpPr fitToPage="1"/>
  </sheetPr>
  <dimension ref="A1:AO163"/>
  <sheetViews>
    <sheetView showGridLines="0" showRowColHeaders="0" zoomScaleNormal="100" workbookViewId="0">
      <pane ySplit="7" topLeftCell="A8" activePane="bottomLeft" state="frozen"/>
      <selection activeCell="I1" sqref="I1"/>
      <selection pane="bottomLeft" activeCell="S1" sqref="S1"/>
    </sheetView>
  </sheetViews>
  <sheetFormatPr defaultRowHeight="12.75" x14ac:dyDescent="0.2"/>
  <cols>
    <col min="1" max="1" width="3.28515625" style="109" customWidth="1"/>
    <col min="2" max="2" width="27.28515625" style="109" hidden="1" customWidth="1"/>
    <col min="3" max="3" width="3.28515625" style="113" customWidth="1"/>
    <col min="4" max="4" width="27.42578125" style="113" hidden="1" customWidth="1"/>
    <col min="5" max="5" width="3.7109375" style="109" customWidth="1"/>
    <col min="6" max="6" width="18.7109375" style="109" bestFit="1" customWidth="1"/>
    <col min="7" max="7" width="2.28515625" style="35" hidden="1" customWidth="1"/>
    <col min="8" max="8" width="1.85546875" style="35" hidden="1" customWidth="1"/>
    <col min="9" max="9" width="5.7109375" style="134" customWidth="1"/>
    <col min="10" max="10" width="23.28515625" style="134" hidden="1" customWidth="1"/>
    <col min="11" max="11" width="28.5703125" style="134" hidden="1" customWidth="1"/>
    <col min="12" max="12" width="10.85546875" style="134" hidden="1" customWidth="1"/>
    <col min="13" max="13" width="8.5703125" style="134" hidden="1" customWidth="1"/>
    <col min="14" max="14" width="32.28515625" style="134" hidden="1" customWidth="1"/>
    <col min="15" max="15" width="10.7109375" style="134" hidden="1" customWidth="1"/>
    <col min="16" max="19" width="3.28515625" style="113" customWidth="1"/>
    <col min="20" max="20" width="3.7109375" style="113" customWidth="1"/>
    <col min="21" max="22" width="3.28515625" style="113" customWidth="1"/>
    <col min="23" max="23" width="3.7109375" style="113" customWidth="1"/>
    <col min="24" max="28" width="3.28515625" style="113" customWidth="1"/>
    <col min="29" max="31" width="3.28515625" style="109" bestFit="1" customWidth="1"/>
    <col min="32" max="32" width="11.7109375" style="109" hidden="1" customWidth="1"/>
    <col min="33" max="33" width="12" style="109" hidden="1" customWidth="1"/>
    <col min="34" max="34" width="14.42578125" style="109" hidden="1" customWidth="1"/>
    <col min="35" max="35" width="15.7109375" style="109" hidden="1" customWidth="1"/>
    <col min="36" max="16384" width="9.140625" style="109"/>
  </cols>
  <sheetData>
    <row r="1" spans="1:41" x14ac:dyDescent="0.2">
      <c r="A1" s="290"/>
      <c r="B1" s="119"/>
      <c r="C1" s="110"/>
      <c r="D1" s="171"/>
      <c r="E1" s="110" t="s">
        <v>179</v>
      </c>
      <c r="F1" s="111"/>
      <c r="G1" s="145"/>
      <c r="H1" s="145"/>
      <c r="I1" s="111"/>
      <c r="J1" s="169" t="s">
        <v>180</v>
      </c>
      <c r="K1" s="170"/>
      <c r="L1" s="170"/>
      <c r="M1" s="170"/>
      <c r="N1" s="170"/>
      <c r="O1" s="170"/>
      <c r="P1" s="112"/>
      <c r="R1" s="111"/>
      <c r="S1" s="111"/>
      <c r="T1" s="111"/>
      <c r="U1" s="111"/>
      <c r="V1" s="111"/>
      <c r="W1" s="111"/>
      <c r="X1" s="28"/>
      <c r="Y1" s="111"/>
      <c r="Z1" s="111"/>
      <c r="AA1" s="276" t="s">
        <v>190</v>
      </c>
      <c r="AB1" s="114"/>
      <c r="AC1" s="115"/>
      <c r="AD1" s="116" t="s">
        <v>75</v>
      </c>
      <c r="AE1" s="116"/>
      <c r="AF1" s="169" t="s">
        <v>180</v>
      </c>
      <c r="AG1" s="119"/>
      <c r="AH1" s="119"/>
      <c r="AI1" s="119"/>
    </row>
    <row r="2" spans="1:41" x14ac:dyDescent="0.2">
      <c r="C2" s="117"/>
      <c r="D2" s="117"/>
      <c r="E2" s="291" t="s">
        <v>28</v>
      </c>
      <c r="F2" s="292"/>
      <c r="G2" s="293"/>
      <c r="H2" s="293"/>
      <c r="I2" s="292"/>
      <c r="J2" s="292"/>
      <c r="K2" s="292"/>
      <c r="L2" s="292"/>
      <c r="M2" s="292"/>
      <c r="N2" s="292"/>
      <c r="O2" s="292"/>
      <c r="P2" s="292"/>
      <c r="Q2" s="292"/>
      <c r="R2" s="292"/>
      <c r="S2" s="292"/>
      <c r="T2" s="292"/>
      <c r="U2" s="292"/>
      <c r="V2" s="292"/>
      <c r="W2" s="292"/>
      <c r="X2" s="292"/>
      <c r="Y2" s="292"/>
      <c r="Z2" s="292"/>
      <c r="AA2" s="292"/>
      <c r="AB2" s="118"/>
      <c r="AD2" s="119" t="s">
        <v>76</v>
      </c>
      <c r="AE2" s="119"/>
    </row>
    <row r="3" spans="1:41" x14ac:dyDescent="0.2">
      <c r="C3" s="118"/>
      <c r="D3" s="118"/>
      <c r="F3" s="118"/>
      <c r="I3" s="118"/>
      <c r="J3" s="118"/>
      <c r="K3" s="118"/>
      <c r="L3" s="118"/>
      <c r="M3" s="118"/>
      <c r="N3" s="118"/>
      <c r="O3" s="118"/>
      <c r="P3" s="118"/>
      <c r="Q3" s="118"/>
      <c r="R3" s="118"/>
      <c r="S3" s="118"/>
      <c r="T3" s="118"/>
      <c r="U3" s="118"/>
      <c r="V3" s="118"/>
      <c r="W3" s="118"/>
      <c r="X3" s="118"/>
      <c r="Y3" s="118"/>
      <c r="Z3" s="118"/>
      <c r="AA3" s="118"/>
      <c r="AB3" s="118"/>
      <c r="AD3" s="120" t="s">
        <v>77</v>
      </c>
      <c r="AE3" s="120"/>
    </row>
    <row r="4" spans="1:41" ht="56.25" customHeight="1" x14ac:dyDescent="0.2">
      <c r="A4" s="121"/>
      <c r="B4" s="121"/>
      <c r="C4" s="121"/>
      <c r="D4" s="121"/>
      <c r="E4" s="30"/>
      <c r="F4" s="30"/>
      <c r="G4" s="146"/>
      <c r="H4" s="146"/>
      <c r="I4" s="121"/>
      <c r="J4" s="161" t="s">
        <v>174</v>
      </c>
      <c r="K4" s="161" t="s">
        <v>175</v>
      </c>
      <c r="L4" s="163" t="s">
        <v>176</v>
      </c>
      <c r="M4" s="162" t="s">
        <v>177</v>
      </c>
      <c r="N4" s="162" t="s">
        <v>178</v>
      </c>
      <c r="O4" s="181" t="s">
        <v>189</v>
      </c>
      <c r="P4" s="174" t="s">
        <v>437</v>
      </c>
      <c r="Q4" s="174" t="s">
        <v>437</v>
      </c>
      <c r="R4" s="174" t="s">
        <v>437</v>
      </c>
      <c r="S4" s="174" t="s">
        <v>184</v>
      </c>
      <c r="T4" s="174" t="s">
        <v>184</v>
      </c>
      <c r="U4" s="174" t="s">
        <v>182</v>
      </c>
      <c r="V4" s="174" t="s">
        <v>182</v>
      </c>
      <c r="W4" s="174" t="s">
        <v>182</v>
      </c>
      <c r="X4" s="174" t="s">
        <v>184</v>
      </c>
      <c r="Y4" s="174" t="s">
        <v>184</v>
      </c>
      <c r="Z4" s="174" t="s">
        <v>183</v>
      </c>
      <c r="AA4" s="174" t="s">
        <v>183</v>
      </c>
      <c r="AB4" s="174" t="s">
        <v>183</v>
      </c>
    </row>
    <row r="5" spans="1:41" ht="29.25" x14ac:dyDescent="0.2">
      <c r="A5" s="1396"/>
      <c r="B5" s="121"/>
      <c r="C5" s="121"/>
      <c r="D5" s="121"/>
      <c r="E5" s="30"/>
      <c r="F5" s="30"/>
      <c r="G5" s="146"/>
      <c r="H5" s="146"/>
      <c r="I5" s="122"/>
      <c r="J5" s="122"/>
      <c r="K5" s="122"/>
      <c r="L5" s="122"/>
      <c r="M5" s="122"/>
      <c r="N5" s="122"/>
      <c r="O5" s="122"/>
      <c r="P5" s="123" t="str">
        <f>MID(Kalend!$A6,4,5)</f>
        <v>03.05</v>
      </c>
      <c r="Q5" s="123" t="str">
        <f>MID(Kalend!$A11,4,5)</f>
        <v>17.05</v>
      </c>
      <c r="R5" s="123" t="str">
        <f>MID(Kalend!$A13,4,5)</f>
        <v>31.05</v>
      </c>
      <c r="S5" s="123" t="str">
        <f>MID(Kalend!$A18,4,5)</f>
        <v>14.06</v>
      </c>
      <c r="T5" s="123" t="str">
        <f>MID(Kalend!$A23,4,5)</f>
        <v>28.06</v>
      </c>
      <c r="U5" s="123" t="str">
        <f>MID(Kalend!$A28,4,5)</f>
        <v>12.07</v>
      </c>
      <c r="V5" s="123" t="str">
        <f>MID(Kalend!$A29,4,5)</f>
        <v>19.07</v>
      </c>
      <c r="W5" s="123" t="str">
        <f>MID(Kalend!$A31,4,5)</f>
        <v>29.07</v>
      </c>
      <c r="X5" s="123" t="str">
        <f>MID(Kalend!$A34,4,5)</f>
        <v>02.08</v>
      </c>
      <c r="Y5" s="123" t="str">
        <f>MID(Kalend!$A38,4,5)</f>
        <v>20.08</v>
      </c>
      <c r="Z5" s="123" t="str">
        <f>MID(Kalend!$A39,4,5)</f>
        <v>26.08</v>
      </c>
      <c r="AA5" s="123" t="str">
        <f>MID(Kalend!$A43,4,5)</f>
        <v>16.09</v>
      </c>
      <c r="AB5" s="123" t="str">
        <f>MID(Kalend!$A50,4,5)</f>
        <v>30.09</v>
      </c>
      <c r="AC5" s="1403" t="s">
        <v>78</v>
      </c>
      <c r="AD5" s="1404" t="s">
        <v>79</v>
      </c>
      <c r="AE5" s="1405" t="s">
        <v>12</v>
      </c>
      <c r="AI5" s="290"/>
    </row>
    <row r="6" spans="1:41" x14ac:dyDescent="0.2">
      <c r="A6" s="1397"/>
      <c r="B6" s="124"/>
      <c r="C6" s="172"/>
      <c r="D6" s="172"/>
      <c r="E6" s="1015" t="s">
        <v>80</v>
      </c>
      <c r="F6" s="30"/>
      <c r="G6" s="146"/>
      <c r="H6" s="146"/>
      <c r="I6" s="173" t="s">
        <v>81</v>
      </c>
      <c r="J6" s="154"/>
      <c r="K6" s="154"/>
      <c r="L6" s="154"/>
      <c r="M6" s="154"/>
      <c r="N6" s="154"/>
      <c r="O6" s="154"/>
      <c r="P6" s="126" t="s">
        <v>85</v>
      </c>
      <c r="Q6" s="126" t="s">
        <v>86</v>
      </c>
      <c r="R6" s="126" t="s">
        <v>87</v>
      </c>
      <c r="S6" s="126" t="s">
        <v>85</v>
      </c>
      <c r="T6" s="126" t="s">
        <v>181</v>
      </c>
      <c r="U6" s="126" t="s">
        <v>86</v>
      </c>
      <c r="V6" s="126" t="s">
        <v>85</v>
      </c>
      <c r="W6" s="126" t="s">
        <v>87</v>
      </c>
      <c r="X6" s="126" t="s">
        <v>86</v>
      </c>
      <c r="Y6" s="126" t="s">
        <v>87</v>
      </c>
      <c r="Z6" s="126" t="s">
        <v>86</v>
      </c>
      <c r="AA6" s="126" t="s">
        <v>85</v>
      </c>
      <c r="AB6" s="126" t="s">
        <v>87</v>
      </c>
      <c r="AC6" s="1403"/>
      <c r="AD6" s="1404"/>
      <c r="AE6" s="1405"/>
      <c r="AI6" s="290"/>
      <c r="AN6" s="290"/>
      <c r="AO6" s="290"/>
    </row>
    <row r="7" spans="1:41" x14ac:dyDescent="0.2">
      <c r="A7" s="1398" t="s">
        <v>83</v>
      </c>
      <c r="B7" s="147" t="s">
        <v>83</v>
      </c>
      <c r="C7" s="153" t="s">
        <v>84</v>
      </c>
      <c r="D7" s="889" t="s">
        <v>84</v>
      </c>
      <c r="E7" s="1313" t="s">
        <v>82</v>
      </c>
      <c r="F7" s="125" t="s">
        <v>14</v>
      </c>
      <c r="G7" s="147" t="s">
        <v>83</v>
      </c>
      <c r="H7" s="148" t="s">
        <v>84</v>
      </c>
      <c r="I7" s="1014" t="s">
        <v>13</v>
      </c>
      <c r="J7" s="152" t="s">
        <v>167</v>
      </c>
      <c r="K7" s="159" t="s">
        <v>168</v>
      </c>
      <c r="L7" s="160" t="s">
        <v>169</v>
      </c>
      <c r="M7" s="160" t="s">
        <v>170</v>
      </c>
      <c r="N7" s="159" t="s">
        <v>171</v>
      </c>
      <c r="O7" s="160" t="s">
        <v>172</v>
      </c>
      <c r="P7" s="288" t="str">
        <f>HYPERLINK("#1!G1"," 1 ")</f>
        <v xml:space="preserve"> 1 </v>
      </c>
      <c r="Q7" s="288" t="str">
        <f>HYPERLINK("#2!G1"," 2 ")</f>
        <v xml:space="preserve"> 2 </v>
      </c>
      <c r="R7" s="288" t="str">
        <f>HYPERLINK("#3!G1"," 3 ")</f>
        <v xml:space="preserve"> 3 </v>
      </c>
      <c r="S7" s="288" t="str">
        <f>HYPERLINK("#4!G1"," 4 ")</f>
        <v xml:space="preserve"> 4 </v>
      </c>
      <c r="T7" s="288" t="str">
        <f>HYPERLINK("#5!G1"," 5 ")</f>
        <v xml:space="preserve"> 5 </v>
      </c>
      <c r="U7" s="288" t="str">
        <f>HYPERLINK("#6!G1"," 6 ")</f>
        <v xml:space="preserve"> 6 </v>
      </c>
      <c r="V7" s="288" t="str">
        <f>HYPERLINK("#7!G1"," 7 ")</f>
        <v xml:space="preserve"> 7 </v>
      </c>
      <c r="W7" s="288" t="str">
        <f>HYPERLINK("#8!G1"," 8 ")</f>
        <v xml:space="preserve"> 8 </v>
      </c>
      <c r="X7" s="288" t="str">
        <f>HYPERLINK("#9!G1"," 9 ")</f>
        <v xml:space="preserve"> 9 </v>
      </c>
      <c r="Y7" s="288" t="str">
        <f>HYPERLINK("#10!G1","10")</f>
        <v>10</v>
      </c>
      <c r="Z7" s="288" t="str">
        <f>HYPERLINK("#11!G1","11")</f>
        <v>11</v>
      </c>
      <c r="AA7" s="288" t="str">
        <f>HYPERLINK("#12!G1","12")</f>
        <v>12</v>
      </c>
      <c r="AB7" s="288" t="str">
        <f>HYPERLINK("#13!G1","13")</f>
        <v>13</v>
      </c>
      <c r="AC7" s="634"/>
      <c r="AD7" s="635"/>
      <c r="AE7" s="636"/>
      <c r="AF7" s="184" t="s">
        <v>729</v>
      </c>
      <c r="AG7" s="184" t="s">
        <v>730</v>
      </c>
      <c r="AH7" s="184" t="s">
        <v>731</v>
      </c>
      <c r="AI7" s="184" t="s">
        <v>732</v>
      </c>
      <c r="AK7" s="1349"/>
      <c r="AN7" s="290"/>
      <c r="AO7" s="290"/>
    </row>
    <row r="8" spans="1:41" x14ac:dyDescent="0.2">
      <c r="A8" s="1399" t="str">
        <f>IF(B8="","",COUNTIF(B$8:B$53,"&gt;="&amp;B8))</f>
        <v/>
      </c>
      <c r="B8" s="165" t="str">
        <f t="shared" ref="B8:B39" si="0">IF(G8="n",K8,"")</f>
        <v/>
      </c>
      <c r="C8" s="1016" t="str">
        <f>IF(D8="","",COUNTIF(D$8:D$53,"&gt;="&amp;D8))</f>
        <v/>
      </c>
      <c r="D8" s="168" t="str">
        <f t="shared" ref="D8:D39" si="1">IF(H8="j",K8,"")</f>
        <v/>
      </c>
      <c r="E8" s="1314">
        <f>RANK(L8,L$8:L$53,1)</f>
        <v>1</v>
      </c>
      <c r="F8" s="1312" t="s">
        <v>89</v>
      </c>
      <c r="G8" s="149"/>
      <c r="H8" s="150"/>
      <c r="I8" s="1379">
        <f>(IF(COUNT(R8,T8,W8,Y8,AB8)&lt;3,SUM(R8,T8,W8,Y8,AB8),SUM(LARGE((R8,T8,W8,Y8,AB8),{1;2;3}))))+(IF(COUNT(Q8,U8,X8,Z8)&lt;3,SUM(Q8,U8,X8,Z8),SUM(LARGE((Q8,U8,X8,Z8),{1;2;3}))))+(IF(COUNT(P8,S8,V8,AA8)&lt;3,SUM(P8,S8,V8,AA8),SUM(LARGE((P8,S8,V8,AA8),{1;2;3}))))</f>
        <v>338</v>
      </c>
      <c r="J8" s="164" t="str">
        <f>INDEX(ETAPP!B$1:B$32,MATCH(COUNTIF(P8:AB8,PIV!A$1),ETAPP!A$1:A$32,0))&amp;INDEX(ETAPP!B$1:B$32,MATCH(COUNTIF(P8:AB8,PIV!A$2),ETAPP!A$1:A$32,0))&amp;INDEX(ETAPP!B$1:B$32,MATCH(COUNTIF(P8:AB8,PIV!A$3),ETAPP!A$1:A$32,0))&amp;INDEX(ETAPP!B$1:B$32,MATCH(COUNTIF(P8:AB8,PIV!A$4),ETAPP!A$1:A$32,0))&amp;INDEX(ETAPP!B$1:B$32,MATCH(COUNTIF(P8:AB8,PIV!A$5),ETAPP!A$1:A$32,0))&amp;INDEX(ETAPP!B$1:B$32,MATCH(COUNTIF(P8:AB8,PIV!A$6),ETAPP!A$1:A$32,0))&amp;INDEX(ETAPP!B$1:B$32,MATCH(COUNTIF(P8:AB8,PIV!A$7),ETAPP!A$1:A$32,0))&amp;INDEX(ETAPP!B$1:B$32,MATCH(COUNTIF(P8:AB8,PIV!A$8),ETAPP!A$1:A$32,0))&amp;INDEX(ETAPP!B$1:B$32,MATCH(COUNTIF(P8:AB8,PIV!A$9),ETAPP!A$1:A$32,0))&amp;INDEX(ETAPP!B$1:B$32,MATCH(COUNTIF(P8:AB8,PIV!A$10),ETAPP!A$1:A$32,0))&amp;INDEX(ETAPP!B$1:B$32,MATCH(COUNTIF(P8:AB8,PIV!A$11),ETAPP!A$1:A$32,0))&amp;INDEX(ETAPP!B$1:B$32,MATCH(COUNTIF(P8:AB8,PIV!A$12),ETAPP!A$1:A$32,0))&amp;INDEX(ETAPP!B$1:B$32,MATCH(COUNTIF(P8:AB8,PIV!A$13),ETAPP!A$1:A$32,0))&amp;INDEX(ETAPP!B$1:B$32,MATCH(COUNTIF(P8:AB8,PIV!A$14),ETAPP!A$1:A$32,0))&amp;INDEX(ETAPP!B$1:B$32,MATCH(COUNTIF(P8:AB8,PIV!A$15),ETAPP!A$1:A$32,0))&amp;INDEX(ETAPP!B$1:B$32,MATCH(COUNTIF(P8:AB8,PIV!A$16),ETAPP!A$1:A$32,0))&amp;INDEX(ETAPP!B$1:B$32,MATCH(COUNTIF(P8:AB8,PIV!A$17),ETAPP!A$1:A$32,0))&amp;INDEX(ETAPP!B$1:B$32,MATCH(COUNTIF(P8:AB8,PIV!A$18),ETAPP!A$1:A$32,0))&amp;INDEX(ETAPP!B$1:B$32,MATCH(COUNTIF(P8:AB8,PIV!A$19),ETAPP!A$1:A$32,0))</f>
        <v>FCB00A000000000000A</v>
      </c>
      <c r="K8" s="164" t="str">
        <f t="shared" ref="K8:K39" si="2">TEXT(I8,"000,0")&amp;"-"&amp;J8</f>
        <v>338,0-FCB00A000000000000A</v>
      </c>
      <c r="L8" s="127">
        <f>COUNTIF(K$8:K$53,"&gt;="&amp;K8)</f>
        <v>1</v>
      </c>
      <c r="M8" s="127">
        <f>COUNTIF(F$8:F$53,"&gt;="&amp;F8)</f>
        <v>31</v>
      </c>
      <c r="N8" s="164" t="str">
        <f t="shared" ref="N8:N39" si="3">TEXT(I8,"000,0")&amp;"-"&amp;J8&amp;"-"&amp;TEXT(M8,"000")</f>
        <v>338,0-FCB00A000000000000A-031</v>
      </c>
      <c r="O8" s="844">
        <f>COUNTIF(N$8:N$53,"&lt;="&amp;N8)</f>
        <v>46</v>
      </c>
      <c r="P8" s="128">
        <f>IFERROR(INDEX('1'!C$300:C$400,MATCH("*"&amp;F8&amp;"*",'1'!B$300:B$400,0)),"  ")</f>
        <v>40</v>
      </c>
      <c r="Q8" s="129">
        <f>IFERROR(INDEX('2'!C$300:C$400,MATCH("*"&amp;F8&amp;"*",'2'!B$300:B$400,0)),"  ")</f>
        <v>40</v>
      </c>
      <c r="R8" s="129">
        <f>IFERROR(INDEX('3'!C$300:C$400,MATCH("*"&amp;F8&amp;"*",'3'!B$300:B$400,0)),"  ")</f>
        <v>40</v>
      </c>
      <c r="S8" s="129">
        <f>IFERROR(INDEX('4'!C$300:C$400,MATCH("*"&amp;F8&amp;"*",'4'!B$300:B$400,0)),"  ")</f>
        <v>22</v>
      </c>
      <c r="T8" s="129">
        <f>IFERROR(INDEX('5'!C$300:C$400,MATCH("*"&amp;F8&amp;"*",'5'!B$300:B$400,0)),"  ")</f>
        <v>34</v>
      </c>
      <c r="U8" s="129">
        <f>IFERROR(INDEX('6'!C$300:C$400,MATCH("*"&amp;F8&amp;"*",'6'!B$300:B$400,0)),"  ")</f>
        <v>40</v>
      </c>
      <c r="V8" s="129">
        <f>IFERROR(INDEX('7'!C$300:C$400,MATCH("*"&amp;F8&amp;"*",'7'!B$300:B$400,0)),"  ")</f>
        <v>34</v>
      </c>
      <c r="W8" s="129" t="str">
        <f>IFERROR(INDEX('8'!C$300:C$400,MATCH("*"&amp;F8&amp;"*",'8'!B$300:B$400,0)),"  ")</f>
        <v xml:space="preserve">  </v>
      </c>
      <c r="X8" s="129">
        <f>IFERROR(INDEX('9'!C$300:C$400,MATCH("*"&amp;F8&amp;"*",'9'!B$300:B$400,0)),"  ")</f>
        <v>34</v>
      </c>
      <c r="Y8" s="129">
        <f>IFERROR(INDEX('10'!C$300:C$400,MATCH("*"&amp;F8&amp;"*",'10'!B$300:B$400,0)),"  ")</f>
        <v>30</v>
      </c>
      <c r="Z8" s="128">
        <f>IFERROR(INDEX('11'!C$300:C$400,MATCH("*"&amp;F8&amp;"*",'11'!B$300:B$400,0)),"  ")</f>
        <v>40</v>
      </c>
      <c r="AA8" s="129">
        <f>IFERROR(INDEX('12'!C$300:C$400,MATCH("*"&amp;F8&amp;"*",'12'!B$300:B$400,0)),"  ")</f>
        <v>30</v>
      </c>
      <c r="AB8" s="129">
        <f>IFERROR(INDEX('13'!C$300:C$400,MATCH("*"&amp;F8&amp;"*",'13'!B$300:B$400,0)),"  ")</f>
        <v>40</v>
      </c>
      <c r="AC8" s="131">
        <f t="shared" ref="AC8:AC39" si="4">COUNTIF(P8:AB8,"&gt;=0")</f>
        <v>12</v>
      </c>
      <c r="AD8" s="130">
        <f t="shared" ref="AD8:AD39" si="5">COUNTIF(P8:AB8,"&gt;=30")</f>
        <v>11</v>
      </c>
      <c r="AE8" s="130">
        <f t="shared" ref="AE8:AE39" si="6">COUNTIF(P8:AB8,"=40")</f>
        <v>6</v>
      </c>
      <c r="AF8" s="1346">
        <f>MIN(IF($P8="  ",FALSE,$P8)+$P$7/10000,IF($S8="  ",FALSE,$S8)+$S$7/10000,IF($V8="  ",FALSE,$V8)+$V$7/10000,IF($AA8="  ",FALSE,$AA8)+$AA$7/10000)</f>
        <v>22.000399999999999</v>
      </c>
      <c r="AG8" s="1346">
        <f>MIN(IF($Q8="  ",FALSE,$Q8)+$Q$7/10000,IF($U8="  ",FALSE,$U8)+$U$7/10000,IF($X8="  ",FALSE,$X8)+$X$7/10000,IF($Z8="  ",FALSE,$Z8)+$Z$7/10000)</f>
        <v>34.000900000000001</v>
      </c>
      <c r="AH8" s="1346">
        <f>MIN(IF($R8="  ",FALSE,$R8)+$R$7/10000,IF($T8="  ",FALSE,$T8)+$T$7/10000,IF($W8="  ",FALSE,$W8)+$W$7/10000,IF($Y8="  ",FALSE,$Y8)+$Y$7/10000,IF($AB8="  ",FALSE,$AB8)+$AB$7/10000)</f>
        <v>8.0000000000000004E-4</v>
      </c>
      <c r="AI8" s="1346">
        <f>MIN(IF((IF($R8="  ",FALSE,$R8)+$R$7/10000)=AH8,333,IF($R8="  ",FALSE,$R8)+$R$7/10000),IF((IF($T8="  ",FALSE,$T8)+$T$7/10000)=AH8,333,IF($T8="  ",FALSE,$T8)+$T$7/10000),IF((IF($W8="  ",FALSE,$W8)+$W$7/10000)=AH8,333,IF($W8="  ",FALSE,$W8)+$W$7/10000),IF((IF($Y8="  ",FALSE,$Y8)+$Y$7/10000)=AH8,333,IF($Y8="  ",FALSE,$Y8)+$Y$7/10000),IF((IF($AB8="  ",FALSE,$AB8)+$AB$7/10000)=AH8,333,IF($AB8="  ",FALSE,$AB8)+$AB$7/10000))</f>
        <v>30.001000000000001</v>
      </c>
      <c r="AJ8" s="113"/>
      <c r="AK8" s="113"/>
      <c r="AN8" s="290"/>
      <c r="AO8" s="290"/>
    </row>
    <row r="9" spans="1:41" x14ac:dyDescent="0.2">
      <c r="A9" s="978" t="str">
        <f>IF(B9="","",COUNTIF(B$8:B$53,"&gt;="&amp;B9))</f>
        <v/>
      </c>
      <c r="B9" s="165" t="str">
        <f t="shared" si="0"/>
        <v/>
      </c>
      <c r="C9" s="1016" t="str">
        <f>IF(D9="","",COUNTIF(D$8:D$53,"&gt;="&amp;D9))</f>
        <v/>
      </c>
      <c r="D9" s="168" t="str">
        <f t="shared" si="1"/>
        <v/>
      </c>
      <c r="E9" s="1314">
        <f>RANK(L9,L$8:L$53,1)</f>
        <v>2</v>
      </c>
      <c r="F9" s="187" t="s">
        <v>99</v>
      </c>
      <c r="G9" s="149"/>
      <c r="H9" s="150"/>
      <c r="I9" s="1379">
        <f>(IF(COUNT(R9,T9,W9,Y9,AB9)&lt;3,SUM(R9,T9,W9,Y9,AB9),SUM(LARGE((R9,T9,W9,Y9,AB9),{1;2;3}))))+(IF(COUNT(Q9,U9,X9,Z9)&lt;3,SUM(Q9,U9,X9,Z9),SUM(LARGE((Q9,U9,X9,Z9),{1;2;3}))))+(IF(COUNT(P9,S9,V9,AA9)&lt;3,SUM(P9,S9,V9,AA9),SUM(LARGE((P9,S9,V9,AA9),{1;2;3}))))</f>
        <v>282</v>
      </c>
      <c r="J9" s="164" t="str">
        <f>INDEX(ETAPP!B$1:B$32,MATCH(COUNTIF(P9:AB9,PIV!A$1),ETAPP!A$1:A$32,0))&amp;INDEX(ETAPP!B$1:B$32,MATCH(COUNTIF(P9:AB9,PIV!A$2),ETAPP!A$1:A$32,0))&amp;INDEX(ETAPP!B$1:B$32,MATCH(COUNTIF(P9:AB9,PIV!A$3),ETAPP!A$1:A$32,0))&amp;INDEX(ETAPP!B$1:B$32,MATCH(COUNTIF(P9:AB9,PIV!A$4),ETAPP!A$1:A$32,0))&amp;INDEX(ETAPP!B$1:B$32,MATCH(COUNTIF(P9:AB9,PIV!A$5),ETAPP!A$1:A$32,0))&amp;INDEX(ETAPP!B$1:B$32,MATCH(COUNTIF(P9:AB9,PIV!A$6),ETAPP!A$1:A$32,0))&amp;INDEX(ETAPP!B$1:B$32,MATCH(COUNTIF(P9:AB9,PIV!A$7),ETAPP!A$1:A$32,0))&amp;INDEX(ETAPP!B$1:B$32,MATCH(COUNTIF(P9:AB9,PIV!A$8),ETAPP!A$1:A$32,0))&amp;INDEX(ETAPP!B$1:B$32,MATCH(COUNTIF(P9:AB9,PIV!A$9),ETAPP!A$1:A$32,0))&amp;INDEX(ETAPP!B$1:B$32,MATCH(COUNTIF(P9:AB9,PIV!A$10),ETAPP!A$1:A$32,0))&amp;INDEX(ETAPP!B$1:B$32,MATCH(COUNTIF(P9:AB9,PIV!A$11),ETAPP!A$1:A$32,0))&amp;INDEX(ETAPP!B$1:B$32,MATCH(COUNTIF(P9:AB9,PIV!A$12),ETAPP!A$1:A$32,0))&amp;INDEX(ETAPP!B$1:B$32,MATCH(COUNTIF(P9:AB9,PIV!A$13),ETAPP!A$1:A$32,0))&amp;INDEX(ETAPP!B$1:B$32,MATCH(COUNTIF(P9:AB9,PIV!A$14),ETAPP!A$1:A$32,0))&amp;INDEX(ETAPP!B$1:B$32,MATCH(COUNTIF(P9:AB9,PIV!A$15),ETAPP!A$1:A$32,0))&amp;INDEX(ETAPP!B$1:B$32,MATCH(COUNTIF(P9:AB9,PIV!A$16),ETAPP!A$1:A$32,0))&amp;INDEX(ETAPP!B$1:B$32,MATCH(COUNTIF(P9:AB9,PIV!A$17),ETAPP!A$1:A$32,0))&amp;INDEX(ETAPP!B$1:B$32,MATCH(COUNTIF(P9:AB9,PIV!A$18),ETAPP!A$1:A$32,0))&amp;INDEX(ETAPP!B$1:B$32,MATCH(COUNTIF(P9:AB9,PIV!A$19),ETAPP!A$1:A$32,0))</f>
        <v>CABAA00B000000A000B</v>
      </c>
      <c r="K9" s="164" t="str">
        <f t="shared" si="2"/>
        <v>282,0-CABAA00B000000A000B</v>
      </c>
      <c r="L9" s="127">
        <f>COUNTIF(K$8:K$53,"&gt;="&amp;K9)</f>
        <v>2</v>
      </c>
      <c r="M9" s="127">
        <f>COUNTIF(F$8:F$53,"&gt;="&amp;F9)</f>
        <v>35</v>
      </c>
      <c r="N9" s="164" t="str">
        <f t="shared" si="3"/>
        <v>282,0-CABAA00B000000A000B-035</v>
      </c>
      <c r="O9" s="844">
        <f>COUNTIF(N$8:N$53,"&lt;="&amp;N9)</f>
        <v>45</v>
      </c>
      <c r="P9" s="128" t="str">
        <f>IFERROR(INDEX('1'!C$300:C$400,MATCH("*"&amp;F9&amp;"*",'1'!B$300:B$400,0)),"  ")</f>
        <v xml:space="preserve">  </v>
      </c>
      <c r="Q9" s="129">
        <f>IFERROR(INDEX('2'!C$300:C$400,MATCH("*"&amp;F9&amp;"*",'2'!B$300:B$400,0)),"  ")</f>
        <v>26</v>
      </c>
      <c r="R9" s="129">
        <f>IFERROR(INDEX('3'!C$300:C$400,MATCH("*"&amp;F9&amp;"*",'3'!B$300:B$400,0)),"  ")</f>
        <v>4</v>
      </c>
      <c r="S9" s="129">
        <f>IFERROR(INDEX('4'!C$300:C$400,MATCH("*"&amp;F9&amp;"*",'4'!B$300:B$400,0)),"  ")</f>
        <v>30</v>
      </c>
      <c r="T9" s="129" t="str">
        <f>IFERROR(INDEX('5'!C$300:C$400,MATCH("*"&amp;F9&amp;"*",'5'!B$300:B$400,0)),"  ")</f>
        <v xml:space="preserve">  </v>
      </c>
      <c r="U9" s="129">
        <f>IFERROR(INDEX('6'!C$300:C$400,MATCH("*"&amp;F9&amp;"*",'6'!B$300:B$400,0)),"  ")</f>
        <v>30</v>
      </c>
      <c r="V9" s="129">
        <f>IFERROR(INDEX('7'!C$300:C$400,MATCH("*"&amp;F9&amp;"*",'7'!B$300:B$400,0)),"  ")</f>
        <v>40</v>
      </c>
      <c r="W9" s="129">
        <f>IFERROR(INDEX('8'!C$300:C$400,MATCH("*"&amp;F9&amp;"*",'8'!B$300:B$400,0)),"  ")</f>
        <v>40</v>
      </c>
      <c r="X9" s="129">
        <f>IFERROR(INDEX('9'!C$300:C$400,MATCH("*"&amp;F9&amp;"*",'9'!B$300:B$400,0)),"  ")</f>
        <v>18</v>
      </c>
      <c r="Y9" s="129">
        <f>IFERROR(INDEX('10'!C$300:C$400,MATCH("*"&amp;F9&amp;"*",'10'!B$300:B$400,0)),"  ")</f>
        <v>18</v>
      </c>
      <c r="Z9" s="128">
        <f>IFERROR(INDEX('11'!C$300:C$400,MATCH("*"&amp;F9&amp;"*",'11'!B$300:B$400,0)),"  ")</f>
        <v>34</v>
      </c>
      <c r="AA9" s="129">
        <f>IFERROR(INDEX('12'!C$300:C$400,MATCH("*"&amp;F9&amp;"*",'12'!B$300:B$400,0)),"  ")</f>
        <v>40</v>
      </c>
      <c r="AB9" s="129">
        <f>IFERROR(INDEX('13'!C$300:C$400,MATCH("*"&amp;F9&amp;"*",'13'!B$300:B$400,0)),"  ")</f>
        <v>24</v>
      </c>
      <c r="AC9" s="130">
        <f t="shared" si="4"/>
        <v>11</v>
      </c>
      <c r="AD9" s="130">
        <f t="shared" si="5"/>
        <v>6</v>
      </c>
      <c r="AE9" s="130">
        <f t="shared" si="6"/>
        <v>3</v>
      </c>
      <c r="AF9" s="1346">
        <f t="shared" ref="AF9:AF53" si="7">MIN(IF($P9="  ",FALSE,$P9)+$P$7/10000,IF($S9="  ",FALSE,$S9)+$S$7/10000,IF($V9="  ",FALSE,$V9)+$V$7/10000,IF($AA9="  ",FALSE,$AA9)+$AA$7/10000)</f>
        <v>1E-4</v>
      </c>
      <c r="AG9" s="1346">
        <f t="shared" ref="AG9:AG53" si="8">MIN(IF($Q9="  ",FALSE,$Q9)+$Q$7/10000,IF($U9="  ",FALSE,$U9)+$U$7/10000,IF($X9="  ",FALSE,$X9)+$X$7/10000,IF($Z9="  ",FALSE,$Z9)+$Z$7/10000)</f>
        <v>18.000900000000001</v>
      </c>
      <c r="AH9" s="1346">
        <f t="shared" ref="AH9:AH53" si="9">MIN(IF($R9="  ",FALSE,$R9)+$R$7/10000,IF($T9="  ",FALSE,$T9)+$T$7/10000,IF($W9="  ",FALSE,$W9)+$W$7/10000,IF($Y9="  ",FALSE,$Y9)+$Y$7/10000,IF($AB9="  ",FALSE,$AB9)+$AB$7/10000)</f>
        <v>5.0000000000000001E-4</v>
      </c>
      <c r="AI9" s="1346">
        <f t="shared" ref="AI9:AI53" si="10">MIN(IF((IF($R9="  ",FALSE,$R9)+$R$7/10000)=AH9,333,IF($R9="  ",FALSE,$R9)+$R$7/10000),IF((IF($T9="  ",FALSE,$T9)+$T$7/10000)=AH9,333,IF($T9="  ",FALSE,$T9)+$T$7/10000),IF((IF($W9="  ",FALSE,$W9)+$W$7/10000)=AH9,333,IF($W9="  ",FALSE,$W9)+$W$7/10000),IF((IF($Y9="  ",FALSE,$Y9)+$Y$7/10000)=AH9,333,IF($Y9="  ",FALSE,$Y9)+$Y$7/10000),IF((IF($AB9="  ",FALSE,$AB9)+$AB$7/10000)=AH9,333,IF($AB9="  ",FALSE,$AB9)+$AB$7/10000))</f>
        <v>4.0003000000000002</v>
      </c>
      <c r="AK9" s="113"/>
      <c r="AN9" s="290"/>
      <c r="AO9" s="290"/>
    </row>
    <row r="10" spans="1:41" x14ac:dyDescent="0.2">
      <c r="A10" s="978" t="str">
        <f>IF(B10="","",COUNTIF(B$8:B$53,"&gt;="&amp;B10))</f>
        <v/>
      </c>
      <c r="B10" s="165" t="str">
        <f t="shared" si="0"/>
        <v/>
      </c>
      <c r="C10" s="1016" t="str">
        <f>IF(D10="","",COUNTIF(D$8:D$53,"&gt;="&amp;D10))</f>
        <v/>
      </c>
      <c r="D10" s="168" t="str">
        <f t="shared" si="1"/>
        <v/>
      </c>
      <c r="E10" s="1314">
        <f>RANK(L10,L$8:L$53,1)</f>
        <v>3</v>
      </c>
      <c r="F10" s="1005" t="s">
        <v>96</v>
      </c>
      <c r="G10" s="149"/>
      <c r="H10" s="150"/>
      <c r="I10" s="1379">
        <f>(IF(COUNT(R10,T10,W10,Y10,AB10)&lt;3,SUM(R10,T10,W10,Y10,AB10),SUM(LARGE((R10,T10,W10,Y10,AB10),{1;2;3}))))+(IF(COUNT(Q10,U10,X10,Z10)&lt;3,SUM(Q10,U10,X10,Z10),SUM(LARGE((Q10,U10,X10,Z10),{1;2;3}))))+(IF(COUNT(P10,S10,V10,AA10)&lt;3,SUM(P10,S10,V10,AA10),SUM(LARGE((P10,S10,V10,AA10),{1;2;3}))))</f>
        <v>268</v>
      </c>
      <c r="J10" s="164" t="str">
        <f>INDEX(ETAPP!B$1:B$32,MATCH(COUNTIF(P10:AB10,PIV!A$1),ETAPP!A$1:A$32,0))&amp;INDEX(ETAPP!B$1:B$32,MATCH(COUNTIF(P10:AB10,PIV!A$2),ETAPP!A$1:A$32,0))&amp;INDEX(ETAPP!B$1:B$32,MATCH(COUNTIF(P10:AB10,PIV!A$3),ETAPP!A$1:A$32,0))&amp;INDEX(ETAPP!B$1:B$32,MATCH(COUNTIF(P10:AB10,PIV!A$4),ETAPP!A$1:A$32,0))&amp;INDEX(ETAPP!B$1:B$32,MATCH(COUNTIF(P10:AB10,PIV!A$5),ETAPP!A$1:A$32,0))&amp;INDEX(ETAPP!B$1:B$32,MATCH(COUNTIF(P10:AB10,PIV!A$6),ETAPP!A$1:A$32,0))&amp;INDEX(ETAPP!B$1:B$32,MATCH(COUNTIF(P10:AB10,PIV!A$7),ETAPP!A$1:A$32,0))&amp;INDEX(ETAPP!B$1:B$32,MATCH(COUNTIF(P10:AB10,PIV!A$8),ETAPP!A$1:A$32,0))&amp;INDEX(ETAPP!B$1:B$32,MATCH(COUNTIF(P10:AB10,PIV!A$9),ETAPP!A$1:A$32,0))&amp;INDEX(ETAPP!B$1:B$32,MATCH(COUNTIF(P10:AB10,PIV!A$10),ETAPP!A$1:A$32,0))&amp;INDEX(ETAPP!B$1:B$32,MATCH(COUNTIF(P10:AB10,PIV!A$11),ETAPP!A$1:A$32,0))&amp;INDEX(ETAPP!B$1:B$32,MATCH(COUNTIF(P10:AB10,PIV!A$12),ETAPP!A$1:A$32,0))&amp;INDEX(ETAPP!B$1:B$32,MATCH(COUNTIF(P10:AB10,PIV!A$13),ETAPP!A$1:A$32,0))&amp;INDEX(ETAPP!B$1:B$32,MATCH(COUNTIF(P10:AB10,PIV!A$14),ETAPP!A$1:A$32,0))&amp;INDEX(ETAPP!B$1:B$32,MATCH(COUNTIF(P10:AB10,PIV!A$15),ETAPP!A$1:A$32,0))&amp;INDEX(ETAPP!B$1:B$32,MATCH(COUNTIF(P10:AB10,PIV!A$16),ETAPP!A$1:A$32,0))&amp;INDEX(ETAPP!B$1:B$32,MATCH(COUNTIF(P10:AB10,PIV!A$17),ETAPP!A$1:A$32,0))&amp;INDEX(ETAPP!B$1:B$32,MATCH(COUNTIF(P10:AB10,PIV!A$18),ETAPP!A$1:A$32,0))&amp;INDEX(ETAPP!B$1:B$32,MATCH(COUNTIF(P10:AB10,PIV!A$19),ETAPP!A$1:A$32,0))</f>
        <v>BBBB0A0A00BA0000000</v>
      </c>
      <c r="K10" s="164" t="str">
        <f t="shared" si="2"/>
        <v>268,0-BBBB0A0A00BA0000000</v>
      </c>
      <c r="L10" s="127">
        <f>COUNTIF(K$8:K$53,"&gt;="&amp;K10)</f>
        <v>3</v>
      </c>
      <c r="M10" s="127">
        <f>COUNTIF(F$8:F$53,"&gt;="&amp;F10)</f>
        <v>7</v>
      </c>
      <c r="N10" s="164" t="str">
        <f t="shared" si="3"/>
        <v>268,0-BBBB0A0A00BA0000000-007</v>
      </c>
      <c r="O10" s="844">
        <f>COUNTIF(N$8:N$53,"&lt;="&amp;N10)</f>
        <v>44</v>
      </c>
      <c r="P10" s="128">
        <f>IFERROR(INDEX('1'!C$300:C$400,MATCH("*"&amp;F10&amp;"*",'1'!B$300:B$400,0)),"  ")</f>
        <v>26</v>
      </c>
      <c r="Q10" s="129">
        <f>IFERROR(INDEX('2'!C$300:C$400,MATCH("*"&amp;F10&amp;"*",'2'!B$300:B$400,0)),"  ")</f>
        <v>26</v>
      </c>
      <c r="R10" s="129">
        <f>IFERROR(INDEX('3'!C$300:C$400,MATCH("*"&amp;F10&amp;"*",'3'!B$300:B$400,0)),"  ")</f>
        <v>12</v>
      </c>
      <c r="S10" s="129">
        <f>IFERROR(INDEX('4'!C$300:C$400,MATCH("*"&amp;F10&amp;"*",'4'!B$300:B$400,0)),"  ")</f>
        <v>30</v>
      </c>
      <c r="T10" s="129">
        <f>IFERROR(INDEX('5'!C$300:C$400,MATCH("*"&amp;F10&amp;"*",'5'!B$300:B$400,0)),"  ")</f>
        <v>22</v>
      </c>
      <c r="U10" s="129">
        <f>IFERROR(INDEX('6'!C$300:C$400,MATCH("*"&amp;F10&amp;"*",'6'!B$300:B$400,0)),"  ")</f>
        <v>30</v>
      </c>
      <c r="V10" s="129">
        <f>IFERROR(INDEX('7'!C$300:C$400,MATCH("*"&amp;F10&amp;"*",'7'!B$300:B$400,0)),"  ")</f>
        <v>40</v>
      </c>
      <c r="W10" s="129">
        <f>IFERROR(INDEX('8'!C$300:C$400,MATCH("*"&amp;F10&amp;"*",'8'!B$300:B$400,0)),"  ")</f>
        <v>34</v>
      </c>
      <c r="X10" s="129">
        <f>IFERROR(INDEX('9'!C$300:C$400,MATCH("*"&amp;F10&amp;"*",'9'!B$300:B$400,0)),"  ")</f>
        <v>18</v>
      </c>
      <c r="Y10" s="129">
        <f>IFERROR(INDEX('10'!C$300:C$400,MATCH("*"&amp;F10&amp;"*",'10'!B$300:B$400,0)),"  ")</f>
        <v>10</v>
      </c>
      <c r="Z10" s="128">
        <f>IFERROR(INDEX('11'!C$300:C$400,MATCH("*"&amp;F10&amp;"*",'11'!B$300:B$400,0)),"  ")</f>
        <v>34</v>
      </c>
      <c r="AA10" s="129">
        <f>IFERROR(INDEX('12'!C$300:C$400,MATCH("*"&amp;F10&amp;"*",'12'!B$300:B$400,0)),"  ")</f>
        <v>40</v>
      </c>
      <c r="AB10" s="129">
        <f>IFERROR(INDEX('13'!C$300:C$400,MATCH("*"&amp;F10&amp;"*",'13'!B$300:B$400,0)),"  ")</f>
        <v>12</v>
      </c>
      <c r="AC10" s="130">
        <f t="shared" si="4"/>
        <v>13</v>
      </c>
      <c r="AD10" s="130">
        <f t="shared" si="5"/>
        <v>6</v>
      </c>
      <c r="AE10" s="130">
        <f t="shared" si="6"/>
        <v>2</v>
      </c>
      <c r="AF10" s="1346">
        <f t="shared" si="7"/>
        <v>26.0001</v>
      </c>
      <c r="AG10" s="1346">
        <f t="shared" si="8"/>
        <v>18.000900000000001</v>
      </c>
      <c r="AH10" s="1346">
        <f t="shared" si="9"/>
        <v>10.000999999999999</v>
      </c>
      <c r="AI10" s="1346">
        <f t="shared" si="10"/>
        <v>12.000299999999999</v>
      </c>
      <c r="AK10" s="113"/>
      <c r="AN10" s="290"/>
      <c r="AO10" s="290"/>
    </row>
    <row r="11" spans="1:41" x14ac:dyDescent="0.2">
      <c r="A11" s="978" t="str">
        <f>IF(B11="","",COUNTIF(B$8:B$53,"&gt;="&amp;B11))</f>
        <v/>
      </c>
      <c r="B11" s="165" t="str">
        <f t="shared" si="0"/>
        <v/>
      </c>
      <c r="C11" s="1016" t="str">
        <f>IF(D11="","",COUNTIF(D$8:D$53,"&gt;="&amp;D11))</f>
        <v/>
      </c>
      <c r="D11" s="168" t="str">
        <f t="shared" si="1"/>
        <v/>
      </c>
      <c r="E11" s="1314">
        <f>RANK(L11,L$8:L$53,1)</f>
        <v>4</v>
      </c>
      <c r="F11" s="183" t="s">
        <v>94</v>
      </c>
      <c r="G11" s="149"/>
      <c r="H11" s="150"/>
      <c r="I11" s="1379">
        <f>(IF(COUNT(R11,T11,W11,Y11,AB11)&lt;3,SUM(R11,T11,W11,Y11,AB11),SUM(LARGE((R11,T11,W11,Y11,AB11),{1;2;3}))))+(IF(COUNT(Q11,U11,X11,Z11)&lt;3,SUM(Q11,U11,X11,Z11),SUM(LARGE((Q11,U11,X11,Z11),{1;2;3}))))+(IF(COUNT(P11,S11,V11,AA11)&lt;3,SUM(P11,S11,V11,AA11),SUM(LARGE((P11,S11,V11,AA11),{1;2;3}))))</f>
        <v>260</v>
      </c>
      <c r="J11" s="164" t="str">
        <f>INDEX(ETAPP!B$1:B$32,MATCH(COUNTIF(P11:AB11,PIV!A$1),ETAPP!A$1:A$32,0))&amp;INDEX(ETAPP!B$1:B$32,MATCH(COUNTIF(P11:AB11,PIV!A$2),ETAPP!A$1:A$32,0))&amp;INDEX(ETAPP!B$1:B$32,MATCH(COUNTIF(P11:AB11,PIV!A$3),ETAPP!A$1:A$32,0))&amp;INDEX(ETAPP!B$1:B$32,MATCH(COUNTIF(P11:AB11,PIV!A$4),ETAPP!A$1:A$32,0))&amp;INDEX(ETAPP!B$1:B$32,MATCH(COUNTIF(P11:AB11,PIV!A$5),ETAPP!A$1:A$32,0))&amp;INDEX(ETAPP!B$1:B$32,MATCH(COUNTIF(P11:AB11,PIV!A$6),ETAPP!A$1:A$32,0))&amp;INDEX(ETAPP!B$1:B$32,MATCH(COUNTIF(P11:AB11,PIV!A$7),ETAPP!A$1:A$32,0))&amp;INDEX(ETAPP!B$1:B$32,MATCH(COUNTIF(P11:AB11,PIV!A$8),ETAPP!A$1:A$32,0))&amp;INDEX(ETAPP!B$1:B$32,MATCH(COUNTIF(P11:AB11,PIV!A$9),ETAPP!A$1:A$32,0))&amp;INDEX(ETAPP!B$1:B$32,MATCH(COUNTIF(P11:AB11,PIV!A$10),ETAPP!A$1:A$32,0))&amp;INDEX(ETAPP!B$1:B$32,MATCH(COUNTIF(P11:AB11,PIV!A$11),ETAPP!A$1:A$32,0))&amp;INDEX(ETAPP!B$1:B$32,MATCH(COUNTIF(P11:AB11,PIV!A$12),ETAPP!A$1:A$32,0))&amp;INDEX(ETAPP!B$1:B$32,MATCH(COUNTIF(P11:AB11,PIV!A$13),ETAPP!A$1:A$32,0))&amp;INDEX(ETAPP!B$1:B$32,MATCH(COUNTIF(P11:AB11,PIV!A$14),ETAPP!A$1:A$32,0))&amp;INDEX(ETAPP!B$1:B$32,MATCH(COUNTIF(P11:AB11,PIV!A$15),ETAPP!A$1:A$32,0))&amp;INDEX(ETAPP!B$1:B$32,MATCH(COUNTIF(P11:AB11,PIV!A$16),ETAPP!A$1:A$32,0))&amp;INDEX(ETAPP!B$1:B$32,MATCH(COUNTIF(P11:AB11,PIV!A$17),ETAPP!A$1:A$32,0))&amp;INDEX(ETAPP!B$1:B$32,MATCH(COUNTIF(P11:AB11,PIV!A$18),ETAPP!A$1:A$32,0))&amp;INDEX(ETAPP!B$1:B$32,MATCH(COUNTIF(P11:AB11,PIV!A$19),ETAPP!A$1:A$32,0))</f>
        <v>ACAAB0A00A00000000C</v>
      </c>
      <c r="K11" s="164" t="str">
        <f t="shared" si="2"/>
        <v>260,0-ACAAB0A00A00000000C</v>
      </c>
      <c r="L11" s="127">
        <f>COUNTIF(K$8:K$53,"&gt;="&amp;K11)</f>
        <v>4</v>
      </c>
      <c r="M11" s="127">
        <f>COUNTIF(F$8:F$53,"&gt;="&amp;F11)</f>
        <v>46</v>
      </c>
      <c r="N11" s="164" t="str">
        <f t="shared" si="3"/>
        <v>260,0-ACAAB0A00A00000000C-046</v>
      </c>
      <c r="O11" s="844">
        <f>COUNTIF(N$8:N$53,"&lt;="&amp;N11)</f>
        <v>43</v>
      </c>
      <c r="P11" s="128" t="str">
        <f>IFERROR(INDEX('1'!C$300:C$400,MATCH("*"&amp;F11&amp;"*",'1'!B$300:B$400,0)),"  ")</f>
        <v xml:space="preserve">  </v>
      </c>
      <c r="Q11" s="129">
        <f>IFERROR(INDEX('2'!C$300:C$400,MATCH("*"&amp;F11&amp;"*",'2'!B$300:B$400,0)),"  ")</f>
        <v>24</v>
      </c>
      <c r="R11" s="129">
        <f>IFERROR(INDEX('3'!C$300:C$400,MATCH("*"&amp;F11&amp;"*",'3'!B$300:B$400,0)),"  ")</f>
        <v>34</v>
      </c>
      <c r="S11" s="129">
        <f>IFERROR(INDEX('4'!C$300:C$400,MATCH("*"&amp;F11&amp;"*",'4'!B$300:B$400,0)),"  ")</f>
        <v>40</v>
      </c>
      <c r="T11" s="129" t="str">
        <f>IFERROR(INDEX('5'!C$300:C$400,MATCH("*"&amp;F11&amp;"*",'5'!B$300:B$400,0)),"  ")</f>
        <v xml:space="preserve">  </v>
      </c>
      <c r="U11" s="129">
        <f>IFERROR(INDEX('6'!C$300:C$400,MATCH("*"&amp;F11&amp;"*",'6'!B$300:B$400,0)),"  ")</f>
        <v>34</v>
      </c>
      <c r="V11" s="129">
        <f>IFERROR(INDEX('7'!C$300:C$400,MATCH("*"&amp;F11&amp;"*",'7'!B$300:B$400,0)),"  ")</f>
        <v>24</v>
      </c>
      <c r="W11" s="129">
        <f>IFERROR(INDEX('8'!C$300:C$400,MATCH("*"&amp;F11&amp;"*",'8'!B$300:B$400,0)),"  ")</f>
        <v>26</v>
      </c>
      <c r="X11" s="129" t="str">
        <f>IFERROR(INDEX('9'!C$300:C$400,MATCH("*"&amp;F11&amp;"*",'9'!B$300:B$400,0)),"  ")</f>
        <v xml:space="preserve">  </v>
      </c>
      <c r="Y11" s="129">
        <f>IFERROR(INDEX('10'!C$300:C$400,MATCH("*"&amp;F11&amp;"*",'10'!B$300:B$400,0)),"  ")</f>
        <v>20</v>
      </c>
      <c r="Z11" s="128">
        <f>IFERROR(INDEX('11'!C$300:C$400,MATCH("*"&amp;F11&amp;"*",'11'!B$300:B$400,0)),"  ")</f>
        <v>14</v>
      </c>
      <c r="AA11" s="129">
        <f>IFERROR(INDEX('12'!C$300:C$400,MATCH("*"&amp;F11&amp;"*",'12'!B$300:B$400,0)),"  ")</f>
        <v>34</v>
      </c>
      <c r="AB11" s="129">
        <f>IFERROR(INDEX('13'!C$300:C$400,MATCH("*"&amp;F11&amp;"*",'13'!B$300:B$400,0)),"  ")</f>
        <v>30</v>
      </c>
      <c r="AC11" s="130">
        <f t="shared" si="4"/>
        <v>10</v>
      </c>
      <c r="AD11" s="130">
        <f t="shared" si="5"/>
        <v>5</v>
      </c>
      <c r="AE11" s="130">
        <f t="shared" si="6"/>
        <v>1</v>
      </c>
      <c r="AF11" s="1346">
        <f t="shared" si="7"/>
        <v>1E-4</v>
      </c>
      <c r="AG11" s="1346">
        <f t="shared" si="8"/>
        <v>8.9999999999999998E-4</v>
      </c>
      <c r="AH11" s="1346">
        <f t="shared" si="9"/>
        <v>5.0000000000000001E-4</v>
      </c>
      <c r="AI11" s="1346">
        <f t="shared" si="10"/>
        <v>20.001000000000001</v>
      </c>
      <c r="AK11" s="113"/>
      <c r="AN11" s="290"/>
      <c r="AO11" s="290"/>
    </row>
    <row r="12" spans="1:41" s="290" customFormat="1" x14ac:dyDescent="0.2">
      <c r="A12" s="978" t="str">
        <f>IF(B12="","",COUNTIF(B$8:B$53,"&gt;="&amp;B12))</f>
        <v/>
      </c>
      <c r="B12" s="165" t="str">
        <f t="shared" si="0"/>
        <v/>
      </c>
      <c r="C12" s="1016" t="str">
        <f>IF(D12="","",COUNTIF(D$8:D$53,"&gt;="&amp;D12))</f>
        <v/>
      </c>
      <c r="D12" s="168" t="str">
        <f t="shared" si="1"/>
        <v/>
      </c>
      <c r="E12" s="1314">
        <f>RANK(L12,L$8:L$53,1)</f>
        <v>5</v>
      </c>
      <c r="F12" s="183" t="s">
        <v>95</v>
      </c>
      <c r="G12" s="149"/>
      <c r="H12" s="150"/>
      <c r="I12" s="1379">
        <f>(IF(COUNT(R12,T12,W12,Y12,AB12)&lt;3,SUM(R12,T12,W12,Y12,AB12),SUM(LARGE((R12,T12,W12,Y12,AB12),{1;2;3}))))+(IF(COUNT(Q12,U12,X12,Z12)&lt;3,SUM(Q12,U12,X12,Z12),SUM(LARGE((Q12,U12,X12,Z12),{1;2;3}))))+(IF(COUNT(P12,S12,V12,AA12)&lt;3,SUM(P12,S12,V12,AA12),SUM(LARGE((P12,S12,V12,AA12),{1;2;3}))))</f>
        <v>258</v>
      </c>
      <c r="J12" s="164" t="str">
        <f>INDEX(ETAPP!B$1:B$32,MATCH(COUNTIF(P12:AB12,PIV!A$1),ETAPP!A$1:A$32,0))&amp;INDEX(ETAPP!B$1:B$32,MATCH(COUNTIF(P12:AB12,PIV!A$2),ETAPP!A$1:A$32,0))&amp;INDEX(ETAPP!B$1:B$32,MATCH(COUNTIF(P12:AB12,PIV!A$3),ETAPP!A$1:A$32,0))&amp;INDEX(ETAPP!B$1:B$32,MATCH(COUNTIF(P12:AB12,PIV!A$4),ETAPP!A$1:A$32,0))&amp;INDEX(ETAPP!B$1:B$32,MATCH(COUNTIF(P12:AB12,PIV!A$5),ETAPP!A$1:A$32,0))&amp;INDEX(ETAPP!B$1:B$32,MATCH(COUNTIF(P12:AB12,PIV!A$6),ETAPP!A$1:A$32,0))&amp;INDEX(ETAPP!B$1:B$32,MATCH(COUNTIF(P12:AB12,PIV!A$7),ETAPP!A$1:A$32,0))&amp;INDEX(ETAPP!B$1:B$32,MATCH(COUNTIF(P12:AB12,PIV!A$8),ETAPP!A$1:A$32,0))&amp;INDEX(ETAPP!B$1:B$32,MATCH(COUNTIF(P12:AB12,PIV!A$9),ETAPP!A$1:A$32,0))&amp;INDEX(ETAPP!B$1:B$32,MATCH(COUNTIF(P12:AB12,PIV!A$10),ETAPP!A$1:A$32,0))&amp;INDEX(ETAPP!B$1:B$32,MATCH(COUNTIF(P12:AB12,PIV!A$11),ETAPP!A$1:A$32,0))&amp;INDEX(ETAPP!B$1:B$32,MATCH(COUNTIF(P12:AB12,PIV!A$12),ETAPP!A$1:A$32,0))&amp;INDEX(ETAPP!B$1:B$32,MATCH(COUNTIF(P12:AB12,PIV!A$13),ETAPP!A$1:A$32,0))&amp;INDEX(ETAPP!B$1:B$32,MATCH(COUNTIF(P12:AB12,PIV!A$14),ETAPP!A$1:A$32,0))&amp;INDEX(ETAPP!B$1:B$32,MATCH(COUNTIF(P12:AB12,PIV!A$15),ETAPP!A$1:A$32,0))&amp;INDEX(ETAPP!B$1:B$32,MATCH(COUNTIF(P12:AB12,PIV!A$16),ETAPP!A$1:A$32,0))&amp;INDEX(ETAPP!B$1:B$32,MATCH(COUNTIF(P12:AB12,PIV!A$17),ETAPP!A$1:A$32,0))&amp;INDEX(ETAPP!B$1:B$32,MATCH(COUNTIF(P12:AB12,PIV!A$18),ETAPP!A$1:A$32,0))&amp;INDEX(ETAPP!B$1:B$32,MATCH(COUNTIF(P12:AB12,PIV!A$19),ETAPP!A$1:A$32,0))</f>
        <v>B0C0ACA00000A00000B</v>
      </c>
      <c r="K12" s="164" t="str">
        <f t="shared" si="2"/>
        <v>258,0-B0C0ACA00000A00000B</v>
      </c>
      <c r="L12" s="127">
        <f>COUNTIF(K$8:K$53,"&gt;="&amp;K12)</f>
        <v>5</v>
      </c>
      <c r="M12" s="127">
        <f>COUNTIF(F$8:F$53,"&gt;="&amp;F12)</f>
        <v>41</v>
      </c>
      <c r="N12" s="164" t="str">
        <f t="shared" si="3"/>
        <v>258,0-B0C0ACA00000A00000B-041</v>
      </c>
      <c r="O12" s="844">
        <f>COUNTIF(N$8:N$53,"&lt;="&amp;N12)</f>
        <v>42</v>
      </c>
      <c r="P12" s="128" t="str">
        <f>IFERROR(INDEX('1'!C$300:C$400,MATCH("*"&amp;F12&amp;"*",'1'!B$300:B$400,0)),"  ")</f>
        <v xml:space="preserve">  </v>
      </c>
      <c r="Q12" s="129" t="str">
        <f>IFERROR(INDEX('2'!C$300:C$400,MATCH("*"&amp;F12&amp;"*",'2'!B$300:B$400,0)),"  ")</f>
        <v xml:space="preserve">  </v>
      </c>
      <c r="R12" s="129">
        <f>IFERROR(INDEX('3'!C$300:C$400,MATCH("*"&amp;F12&amp;"*",'3'!B$300:B$400,0)),"  ")</f>
        <v>30</v>
      </c>
      <c r="S12" s="129">
        <f>IFERROR(INDEX('4'!C$300:C$400,MATCH("*"&amp;F12&amp;"*",'4'!B$300:B$400,0)),"  ")</f>
        <v>30</v>
      </c>
      <c r="T12" s="129">
        <f>IFERROR(INDEX('5'!C$300:C$400,MATCH("*"&amp;F12&amp;"*",'5'!B$300:B$400,0)),"  ")</f>
        <v>40</v>
      </c>
      <c r="U12" s="129">
        <f>IFERROR(INDEX('6'!C$300:C$400,MATCH("*"&amp;F12&amp;"*",'6'!B$300:B$400,0)),"  ")</f>
        <v>24</v>
      </c>
      <c r="V12" s="129">
        <f>IFERROR(INDEX('7'!C$300:C$400,MATCH("*"&amp;F12&amp;"*",'7'!B$300:B$400,0)),"  ")</f>
        <v>40</v>
      </c>
      <c r="W12" s="129">
        <f>IFERROR(INDEX('8'!C$300:C$400,MATCH("*"&amp;F12&amp;"*",'8'!B$300:B$400,0)),"  ")</f>
        <v>30</v>
      </c>
      <c r="X12" s="129">
        <f>IFERROR(INDEX('9'!C$300:C$400,MATCH("*"&amp;F12&amp;"*",'9'!B$300:B$400,0)),"  ")</f>
        <v>22</v>
      </c>
      <c r="Y12" s="129">
        <f>IFERROR(INDEX('10'!C$300:C$400,MATCH("*"&amp;F12&amp;"*",'10'!B$300:B$400,0)),"  ")</f>
        <v>8</v>
      </c>
      <c r="Z12" s="128">
        <f>IFERROR(INDEX('11'!C$300:C$400,MATCH("*"&amp;F12&amp;"*",'11'!B$300:B$400,0)),"  ")</f>
        <v>20</v>
      </c>
      <c r="AA12" s="129">
        <f>IFERROR(INDEX('12'!C$300:C$400,MATCH("*"&amp;F12&amp;"*",'12'!B$300:B$400,0)),"  ")</f>
        <v>22</v>
      </c>
      <c r="AB12" s="129">
        <f>IFERROR(INDEX('13'!C$300:C$400,MATCH("*"&amp;F12&amp;"*",'13'!B$300:B$400,0)),"  ")</f>
        <v>22</v>
      </c>
      <c r="AC12" s="130">
        <f t="shared" si="4"/>
        <v>11</v>
      </c>
      <c r="AD12" s="130">
        <f t="shared" si="5"/>
        <v>5</v>
      </c>
      <c r="AE12" s="130">
        <f t="shared" si="6"/>
        <v>2</v>
      </c>
      <c r="AF12" s="1346">
        <f t="shared" si="7"/>
        <v>1E-4</v>
      </c>
      <c r="AG12" s="1346">
        <f t="shared" si="8"/>
        <v>2.0000000000000001E-4</v>
      </c>
      <c r="AH12" s="1346">
        <f t="shared" si="9"/>
        <v>8.0009999999999994</v>
      </c>
      <c r="AI12" s="1346">
        <f t="shared" si="10"/>
        <v>22.001300000000001</v>
      </c>
      <c r="AK12" s="113"/>
    </row>
    <row r="13" spans="1:41" s="290" customFormat="1" x14ac:dyDescent="0.2">
      <c r="A13" s="978" t="str">
        <f>IF(B13="","",COUNTIF(B$8:B$53,"&gt;="&amp;B13))</f>
        <v/>
      </c>
      <c r="B13" s="165" t="str">
        <f t="shared" si="0"/>
        <v/>
      </c>
      <c r="C13" s="1016" t="str">
        <f>IF(D13="","",COUNTIF(D$8:D$53,"&gt;="&amp;D13))</f>
        <v/>
      </c>
      <c r="D13" s="168" t="str">
        <f t="shared" si="1"/>
        <v/>
      </c>
      <c r="E13" s="1314">
        <f>RANK(L13,L$8:L$53,1)</f>
        <v>6</v>
      </c>
      <c r="F13" s="180" t="s">
        <v>90</v>
      </c>
      <c r="G13" s="149"/>
      <c r="H13" s="150"/>
      <c r="I13" s="1379">
        <f>(IF(COUNT(R13,T13,W13,Y13,AB13)&lt;3,SUM(R13,T13,W13,Y13,AB13),SUM(LARGE((R13,T13,W13,Y13,AB13),{1;2;3}))))+(IF(COUNT(Q13,U13,X13,Z13)&lt;3,SUM(Q13,U13,X13,Z13),SUM(LARGE((Q13,U13,X13,Z13),{1;2;3}))))+(IF(COUNT(P13,S13,V13,AA13)&lt;3,SUM(P13,S13,V13,AA13),SUM(LARGE((P13,S13,V13,AA13),{1;2;3}))))</f>
        <v>252</v>
      </c>
      <c r="J13" s="164" t="str">
        <f>INDEX(ETAPP!B$1:B$32,MATCH(COUNTIF(P13:AB13,PIV!A$1),ETAPP!A$1:A$32,0))&amp;INDEX(ETAPP!B$1:B$32,MATCH(COUNTIF(P13:AB13,PIV!A$2),ETAPP!A$1:A$32,0))&amp;INDEX(ETAPP!B$1:B$32,MATCH(COUNTIF(P13:AB13,PIV!A$3),ETAPP!A$1:A$32,0))&amp;INDEX(ETAPP!B$1:B$32,MATCH(COUNTIF(P13:AB13,PIV!A$4),ETAPP!A$1:A$32,0))&amp;INDEX(ETAPP!B$1:B$32,MATCH(COUNTIF(P13:AB13,PIV!A$5),ETAPP!A$1:A$32,0))&amp;INDEX(ETAPP!B$1:B$32,MATCH(COUNTIF(P13:AB13,PIV!A$6),ETAPP!A$1:A$32,0))&amp;INDEX(ETAPP!B$1:B$32,MATCH(COUNTIF(P13:AB13,PIV!A$7),ETAPP!A$1:A$32,0))&amp;INDEX(ETAPP!B$1:B$32,MATCH(COUNTIF(P13:AB13,PIV!A$8),ETAPP!A$1:A$32,0))&amp;INDEX(ETAPP!B$1:B$32,MATCH(COUNTIF(P13:AB13,PIV!A$9),ETAPP!A$1:A$32,0))&amp;INDEX(ETAPP!B$1:B$32,MATCH(COUNTIF(P13:AB13,PIV!A$10),ETAPP!A$1:A$32,0))&amp;INDEX(ETAPP!B$1:B$32,MATCH(COUNTIF(P13:AB13,PIV!A$11),ETAPP!A$1:A$32,0))&amp;INDEX(ETAPP!B$1:B$32,MATCH(COUNTIF(P13:AB13,PIV!A$12),ETAPP!A$1:A$32,0))&amp;INDEX(ETAPP!B$1:B$32,MATCH(COUNTIF(P13:AB13,PIV!A$13),ETAPP!A$1:A$32,0))&amp;INDEX(ETAPP!B$1:B$32,MATCH(COUNTIF(P13:AB13,PIV!A$14),ETAPP!A$1:A$32,0))&amp;INDEX(ETAPP!B$1:B$32,MATCH(COUNTIF(P13:AB13,PIV!A$15),ETAPP!A$1:A$32,0))&amp;INDEX(ETAPP!B$1:B$32,MATCH(COUNTIF(P13:AB13,PIV!A$16),ETAPP!A$1:A$32,0))&amp;INDEX(ETAPP!B$1:B$32,MATCH(COUNTIF(P13:AB13,PIV!A$17),ETAPP!A$1:A$32,0))&amp;INDEX(ETAPP!B$1:B$32,MATCH(COUNTIF(P13:AB13,PIV!A$18),ETAPP!A$1:A$32,0))&amp;INDEX(ETAPP!B$1:B$32,MATCH(COUNTIF(P13:AB13,PIV!A$19),ETAPP!A$1:A$32,0))</f>
        <v>AB0ADA000A00000000B</v>
      </c>
      <c r="K13" s="164" t="str">
        <f t="shared" si="2"/>
        <v>252,0-AB0ADA000A00000000B</v>
      </c>
      <c r="L13" s="127">
        <f>COUNTIF(K$8:K$53,"&gt;="&amp;K13)</f>
        <v>6</v>
      </c>
      <c r="M13" s="127">
        <f>COUNTIF(F$8:F$53,"&gt;="&amp;F13)</f>
        <v>28</v>
      </c>
      <c r="N13" s="164" t="str">
        <f t="shared" si="3"/>
        <v>252,0-AB0ADA000A00000000B-028</v>
      </c>
      <c r="O13" s="844">
        <f>COUNTIF(N$8:N$53,"&lt;="&amp;N13)</f>
        <v>41</v>
      </c>
      <c r="P13" s="128" t="str">
        <f>IFERROR(INDEX('1'!C$300:C$400,MATCH("*"&amp;F13&amp;"*",'1'!B$300:B$400,0)),"  ")</f>
        <v xml:space="preserve">  </v>
      </c>
      <c r="Q13" s="129">
        <f>IFERROR(INDEX('2'!C$300:C$400,MATCH("*"&amp;F13&amp;"*",'2'!B$300:B$400,0)),"  ")</f>
        <v>24</v>
      </c>
      <c r="R13" s="129">
        <f>IFERROR(INDEX('3'!C$300:C$400,MATCH("*"&amp;F13&amp;"*",'3'!B$300:B$400,0)),"  ")</f>
        <v>22</v>
      </c>
      <c r="S13" s="129">
        <f>IFERROR(INDEX('4'!C$300:C$400,MATCH("*"&amp;F13&amp;"*",'4'!B$300:B$400,0)),"  ")</f>
        <v>40</v>
      </c>
      <c r="T13" s="129">
        <f>IFERROR(INDEX('5'!C$300:C$400,MATCH("*"&amp;F13&amp;"*",'5'!B$300:B$400,0)),"  ")</f>
        <v>24</v>
      </c>
      <c r="U13" s="129">
        <f>IFERROR(INDEX('6'!C$300:C$400,MATCH("*"&amp;F13&amp;"*",'6'!B$300:B$400,0)),"  ")</f>
        <v>34</v>
      </c>
      <c r="V13" s="129">
        <f>IFERROR(INDEX('7'!C$300:C$400,MATCH("*"&amp;F13&amp;"*",'7'!B$300:B$400,0)),"  ")</f>
        <v>24</v>
      </c>
      <c r="W13" s="129">
        <f>IFERROR(INDEX('8'!C$300:C$400,MATCH("*"&amp;F13&amp;"*",'8'!B$300:B$400,0)),"  ")</f>
        <v>2.2999999999999998</v>
      </c>
      <c r="X13" s="129">
        <f>IFERROR(INDEX('9'!C$300:C$400,MATCH("*"&amp;F13&amp;"*",'9'!B$300:B$400,0)),"  ")</f>
        <v>26</v>
      </c>
      <c r="Y13" s="129">
        <f>IFERROR(INDEX('10'!C$300:C$400,MATCH("*"&amp;F13&amp;"*",'10'!B$300:B$400,0)),"  ")</f>
        <v>24</v>
      </c>
      <c r="Z13" s="128">
        <f>IFERROR(INDEX('11'!C$300:C$400,MATCH("*"&amp;F13&amp;"*",'11'!B$300:B$400,0)),"  ")</f>
        <v>14</v>
      </c>
      <c r="AA13" s="129">
        <f>IFERROR(INDEX('12'!C$300:C$400,MATCH("*"&amp;F13&amp;"*",'12'!B$300:B$400,0)),"  ")</f>
        <v>34</v>
      </c>
      <c r="AB13" s="129" t="str">
        <f>IFERROR(INDEX('13'!C$300:C$400,MATCH("*"&amp;F13&amp;"*",'13'!B$300:B$400,0)),"  ")</f>
        <v xml:space="preserve">  </v>
      </c>
      <c r="AC13" s="130">
        <f t="shared" si="4"/>
        <v>11</v>
      </c>
      <c r="AD13" s="130">
        <f t="shared" si="5"/>
        <v>3</v>
      </c>
      <c r="AE13" s="130">
        <f t="shared" si="6"/>
        <v>1</v>
      </c>
      <c r="AF13" s="1346">
        <f t="shared" si="7"/>
        <v>1E-4</v>
      </c>
      <c r="AG13" s="1346">
        <f t="shared" si="8"/>
        <v>14.001099999999999</v>
      </c>
      <c r="AH13" s="1346">
        <f t="shared" si="9"/>
        <v>1.2999999999999999E-3</v>
      </c>
      <c r="AI13" s="1346">
        <f t="shared" si="10"/>
        <v>2.3007999999999997</v>
      </c>
      <c r="AK13" s="113"/>
    </row>
    <row r="14" spans="1:41" s="290" customFormat="1" x14ac:dyDescent="0.2">
      <c r="A14" s="978" t="str">
        <f>IF(B14="","",COUNTIF(B$8:B$53,"&gt;="&amp;B14))</f>
        <v/>
      </c>
      <c r="B14" s="165" t="str">
        <f t="shared" si="0"/>
        <v/>
      </c>
      <c r="C14" s="1016" t="str">
        <f>IF(D14="","",COUNTIF(D$8:D$53,"&gt;="&amp;D14))</f>
        <v/>
      </c>
      <c r="D14" s="168" t="str">
        <f t="shared" si="1"/>
        <v/>
      </c>
      <c r="E14" s="1314">
        <f>RANK(L14,L$8:L$53,1)</f>
        <v>7</v>
      </c>
      <c r="F14" s="30" t="s">
        <v>91</v>
      </c>
      <c r="G14" s="149"/>
      <c r="H14" s="150"/>
      <c r="I14" s="1379">
        <f>(IF(COUNT(R14,T14,W14,Y14,AB14)&lt;3,SUM(R14,T14,W14,Y14,AB14),SUM(LARGE((R14,T14,W14,Y14,AB14),{1;2;3}))))+(IF(COUNT(Q14,U14,X14,Z14)&lt;3,SUM(Q14,U14,X14,Z14),SUM(LARGE((Q14,U14,X14,Z14),{1;2;3}))))+(IF(COUNT(P14,S14,V14,AA14)&lt;3,SUM(P14,S14,V14,AA14),SUM(LARGE((P14,S14,V14,AA14),{1;2;3}))))</f>
        <v>244</v>
      </c>
      <c r="J14" s="164" t="str">
        <f>INDEX(ETAPP!B$1:B$32,MATCH(COUNTIF(P14:AB14,PIV!A$1),ETAPP!A$1:A$32,0))&amp;INDEX(ETAPP!B$1:B$32,MATCH(COUNTIF(P14:AB14,PIV!A$2),ETAPP!A$1:A$32,0))&amp;INDEX(ETAPP!B$1:B$32,MATCH(COUNTIF(P14:AB14,PIV!A$3),ETAPP!A$1:A$32,0))&amp;INDEX(ETAPP!B$1:B$32,MATCH(COUNTIF(P14:AB14,PIV!A$4),ETAPP!A$1:A$32,0))&amp;INDEX(ETAPP!B$1:B$32,MATCH(COUNTIF(P14:AB14,PIV!A$5),ETAPP!A$1:A$32,0))&amp;INDEX(ETAPP!B$1:B$32,MATCH(COUNTIF(P14:AB14,PIV!A$6),ETAPP!A$1:A$32,0))&amp;INDEX(ETAPP!B$1:B$32,MATCH(COUNTIF(P14:AB14,PIV!A$7),ETAPP!A$1:A$32,0))&amp;INDEX(ETAPP!B$1:B$32,MATCH(COUNTIF(P14:AB14,PIV!A$8),ETAPP!A$1:A$32,0))&amp;INDEX(ETAPP!B$1:B$32,MATCH(COUNTIF(P14:AB14,PIV!A$9),ETAPP!A$1:A$32,0))&amp;INDEX(ETAPP!B$1:B$32,MATCH(COUNTIF(P14:AB14,PIV!A$10),ETAPP!A$1:A$32,0))&amp;INDEX(ETAPP!B$1:B$32,MATCH(COUNTIF(P14:AB14,PIV!A$11),ETAPP!A$1:A$32,0))&amp;INDEX(ETAPP!B$1:B$32,MATCH(COUNTIF(P14:AB14,PIV!A$12),ETAPP!A$1:A$32,0))&amp;INDEX(ETAPP!B$1:B$32,MATCH(COUNTIF(P14:AB14,PIV!A$13),ETAPP!A$1:A$32,0))&amp;INDEX(ETAPP!B$1:B$32,MATCH(COUNTIF(P14:AB14,PIV!A$14),ETAPP!A$1:A$32,0))&amp;INDEX(ETAPP!B$1:B$32,MATCH(COUNTIF(P14:AB14,PIV!A$15),ETAPP!A$1:A$32,0))&amp;INDEX(ETAPP!B$1:B$32,MATCH(COUNTIF(P14:AB14,PIV!A$16),ETAPP!A$1:A$32,0))&amp;INDEX(ETAPP!B$1:B$32,MATCH(COUNTIF(P14:AB14,PIV!A$17),ETAPP!A$1:A$32,0))&amp;INDEX(ETAPP!B$1:B$32,MATCH(COUNTIF(P14:AB14,PIV!A$18),ETAPP!A$1:A$32,0))&amp;INDEX(ETAPP!B$1:B$32,MATCH(COUNTIF(P14:AB14,PIV!A$19),ETAPP!A$1:A$32,0))</f>
        <v>0DB0A0AAA000000000C</v>
      </c>
      <c r="K14" s="164" t="str">
        <f t="shared" si="2"/>
        <v>244,0-0DB0A0AAA000000000C</v>
      </c>
      <c r="L14" s="127">
        <f>COUNTIF(K$8:K$53,"&gt;="&amp;K14)</f>
        <v>7</v>
      </c>
      <c r="M14" s="127">
        <f>COUNTIF(F$8:F$53,"&gt;="&amp;F14)</f>
        <v>20</v>
      </c>
      <c r="N14" s="164" t="str">
        <f t="shared" si="3"/>
        <v>244,0-0DB0A0AAA000000000C-020</v>
      </c>
      <c r="O14" s="844">
        <f>COUNTIF(N$8:N$53,"&lt;="&amp;N14)</f>
        <v>40</v>
      </c>
      <c r="P14" s="128">
        <f>IFERROR(INDEX('1'!C$300:C$400,MATCH("*"&amp;F14&amp;"*",'1'!B$300:B$400,0)),"  ")</f>
        <v>34</v>
      </c>
      <c r="Q14" s="129">
        <f>IFERROR(INDEX('2'!C$300:C$400,MATCH("*"&amp;F14&amp;"*",'2'!B$300:B$400,0)),"  ")</f>
        <v>34</v>
      </c>
      <c r="R14" s="129">
        <f>IFERROR(INDEX('3'!C$300:C$400,MATCH("*"&amp;F14&amp;"*",'3'!B$300:B$400,0)),"  ")</f>
        <v>18</v>
      </c>
      <c r="S14" s="129">
        <f>IFERROR(INDEX('4'!C$300:C$400,MATCH("*"&amp;F14&amp;"*",'4'!B$300:B$400,0)),"  ")</f>
        <v>34</v>
      </c>
      <c r="T14" s="129" t="str">
        <f>IFERROR(INDEX('5'!C$300:C$400,MATCH("*"&amp;F14&amp;"*",'5'!B$300:B$400,0)),"  ")</f>
        <v xml:space="preserve">  </v>
      </c>
      <c r="U14" s="129" t="str">
        <f>IFERROR(INDEX('6'!C$300:C$400,MATCH("*"&amp;F14&amp;"*",'6'!B$300:B$400,0)),"  ")</f>
        <v xml:space="preserve">  </v>
      </c>
      <c r="V14" s="129">
        <f>IFERROR(INDEX('7'!C$300:C$400,MATCH("*"&amp;F14&amp;"*",'7'!B$300:B$400,0)),"  ")</f>
        <v>34</v>
      </c>
      <c r="W14" s="129" t="str">
        <f>IFERROR(INDEX('8'!C$300:C$400,MATCH("*"&amp;F14&amp;"*",'8'!B$300:B$400,0)),"  ")</f>
        <v xml:space="preserve">  </v>
      </c>
      <c r="X14" s="129">
        <f>IFERROR(INDEX('9'!C$300:C$400,MATCH("*"&amp;F14&amp;"*",'9'!B$300:B$400,0)),"  ")</f>
        <v>24</v>
      </c>
      <c r="Y14" s="129">
        <f>IFERROR(INDEX('10'!C$300:C$400,MATCH("*"&amp;F14&amp;"*",'10'!B$300:B$400,0)),"  ")</f>
        <v>16</v>
      </c>
      <c r="Z14" s="128">
        <f>IFERROR(INDEX('11'!C$300:C$400,MATCH("*"&amp;F14&amp;"*",'11'!B$300:B$400,0)),"  ")</f>
        <v>30</v>
      </c>
      <c r="AA14" s="129">
        <f>IFERROR(INDEX('12'!C$300:C$400,MATCH("*"&amp;F14&amp;"*",'12'!B$300:B$400,0)),"  ")</f>
        <v>30</v>
      </c>
      <c r="AB14" s="129">
        <f>IFERROR(INDEX('13'!C$300:C$400,MATCH("*"&amp;F14&amp;"*",'13'!B$300:B$400,0)),"  ")</f>
        <v>20</v>
      </c>
      <c r="AC14" s="130">
        <f t="shared" si="4"/>
        <v>10</v>
      </c>
      <c r="AD14" s="130">
        <f t="shared" si="5"/>
        <v>6</v>
      </c>
      <c r="AE14" s="130">
        <f t="shared" si="6"/>
        <v>0</v>
      </c>
      <c r="AF14" s="1346">
        <f t="shared" si="7"/>
        <v>30.001200000000001</v>
      </c>
      <c r="AG14" s="1346">
        <f t="shared" si="8"/>
        <v>5.9999999999999995E-4</v>
      </c>
      <c r="AH14" s="1346">
        <f t="shared" si="9"/>
        <v>5.0000000000000001E-4</v>
      </c>
      <c r="AI14" s="1346">
        <f t="shared" si="10"/>
        <v>8.0000000000000004E-4</v>
      </c>
      <c r="AK14" s="113"/>
    </row>
    <row r="15" spans="1:41" s="290" customFormat="1" x14ac:dyDescent="0.2">
      <c r="A15" s="978" t="str">
        <f>IF(B15="","",COUNTIF(B$8:B$53,"&gt;="&amp;B15))</f>
        <v/>
      </c>
      <c r="B15" s="165" t="str">
        <f t="shared" si="0"/>
        <v/>
      </c>
      <c r="C15" s="1016" t="str">
        <f>IF(D15="","",COUNTIF(D$8:D$53,"&gt;="&amp;D15))</f>
        <v/>
      </c>
      <c r="D15" s="168" t="str">
        <f t="shared" si="1"/>
        <v/>
      </c>
      <c r="E15" s="1314">
        <f>RANK(L15,L$8:L$53,1)</f>
        <v>8</v>
      </c>
      <c r="F15" s="30" t="s">
        <v>93</v>
      </c>
      <c r="G15" s="149"/>
      <c r="H15" s="150"/>
      <c r="I15" s="1379">
        <f>(IF(COUNT(R15,T15,W15,Y15,AB15)&lt;3,SUM(R15,T15,W15,Y15,AB15),SUM(LARGE((R15,T15,W15,Y15,AB15),{1;2;3}))))+(IF(COUNT(Q15,U15,X15,Z15)&lt;3,SUM(Q15,U15,X15,Z15),SUM(LARGE((Q15,U15,X15,Z15),{1;2;3}))))+(IF(COUNT(P15,S15,V15,AA15)&lt;3,SUM(P15,S15,V15,AA15),SUM(LARGE((P15,S15,V15,AA15),{1;2;3}))))</f>
        <v>243</v>
      </c>
      <c r="J15" s="164" t="str">
        <f>INDEX(ETAPP!B$1:B$32,MATCH(COUNTIF(P15:AB15,PIV!A$1),ETAPP!A$1:A$32,0))&amp;INDEX(ETAPP!B$1:B$32,MATCH(COUNTIF(P15:AB15,PIV!A$2),ETAPP!A$1:A$32,0))&amp;INDEX(ETAPP!B$1:B$32,MATCH(COUNTIF(P15:AB15,PIV!A$3),ETAPP!A$1:A$32,0))&amp;INDEX(ETAPP!B$1:B$32,MATCH(COUNTIF(P15:AB15,PIV!A$4),ETAPP!A$1:A$32,0))&amp;INDEX(ETAPP!B$1:B$32,MATCH(COUNTIF(P15:AB15,PIV!A$5),ETAPP!A$1:A$32,0))&amp;INDEX(ETAPP!B$1:B$32,MATCH(COUNTIF(P15:AB15,PIV!A$6),ETAPP!A$1:A$32,0))&amp;INDEX(ETAPP!B$1:B$32,MATCH(COUNTIF(P15:AB15,PIV!A$7),ETAPP!A$1:A$32,0))&amp;INDEX(ETAPP!B$1:B$32,MATCH(COUNTIF(P15:AB15,PIV!A$8),ETAPP!A$1:A$32,0))&amp;INDEX(ETAPP!B$1:B$32,MATCH(COUNTIF(P15:AB15,PIV!A$9),ETAPP!A$1:A$32,0))&amp;INDEX(ETAPP!B$1:B$32,MATCH(COUNTIF(P15:AB15,PIV!A$10),ETAPP!A$1:A$32,0))&amp;INDEX(ETAPP!B$1:B$32,MATCH(COUNTIF(P15:AB15,PIV!A$11),ETAPP!A$1:A$32,0))&amp;INDEX(ETAPP!B$1:B$32,MATCH(COUNTIF(P15:AB15,PIV!A$12),ETAPP!A$1:A$32,0))&amp;INDEX(ETAPP!B$1:B$32,MATCH(COUNTIF(P15:AB15,PIV!A$13),ETAPP!A$1:A$32,0))&amp;INDEX(ETAPP!B$1:B$32,MATCH(COUNTIF(P15:AB15,PIV!A$14),ETAPP!A$1:A$32,0))&amp;INDEX(ETAPP!B$1:B$32,MATCH(COUNTIF(P15:AB15,PIV!A$15),ETAPP!A$1:A$32,0))&amp;INDEX(ETAPP!B$1:B$32,MATCH(COUNTIF(P15:AB15,PIV!A$16),ETAPP!A$1:A$32,0))&amp;INDEX(ETAPP!B$1:B$32,MATCH(COUNTIF(P15:AB15,PIV!A$17),ETAPP!A$1:A$32,0))&amp;INDEX(ETAPP!B$1:B$32,MATCH(COUNTIF(P15:AB15,PIV!A$18),ETAPP!A$1:A$32,0))&amp;INDEX(ETAPP!B$1:B$32,MATCH(COUNTIF(P15:AB15,PIV!A$19),ETAPP!A$1:A$32,0))</f>
        <v>0CABAAB0A000000A000</v>
      </c>
      <c r="K15" s="164" t="str">
        <f t="shared" si="2"/>
        <v>243,0-0CABAAB0A000000A000</v>
      </c>
      <c r="L15" s="127">
        <f>COUNTIF(K$8:K$53,"&gt;="&amp;K15)</f>
        <v>8</v>
      </c>
      <c r="M15" s="127">
        <f>COUNTIF(F$8:F$53,"&gt;="&amp;F15)</f>
        <v>29</v>
      </c>
      <c r="N15" s="164" t="str">
        <f t="shared" si="3"/>
        <v>243,0-0CABAAB0A000000A000-029</v>
      </c>
      <c r="O15" s="844">
        <f>COUNTIF(N$8:N$53,"&lt;="&amp;N15)</f>
        <v>39</v>
      </c>
      <c r="P15" s="128">
        <f>IFERROR(INDEX('1'!C$300:C$400,MATCH("*"&amp;F15&amp;"*",'1'!B$300:B$400,0)),"  ")</f>
        <v>34</v>
      </c>
      <c r="Q15" s="129">
        <f>IFERROR(INDEX('2'!C$300:C$400,MATCH("*"&amp;F15&amp;"*",'2'!B$300:B$400,0)),"  ")</f>
        <v>20</v>
      </c>
      <c r="R15" s="129">
        <f>IFERROR(INDEX('3'!C$300:C$400,MATCH("*"&amp;F15&amp;"*",'3'!B$300:B$400,0)),"  ")</f>
        <v>2</v>
      </c>
      <c r="S15" s="129">
        <f>IFERROR(INDEX('4'!C$300:C$400,MATCH("*"&amp;F15&amp;"*",'4'!B$300:B$400,0)),"  ")</f>
        <v>34</v>
      </c>
      <c r="T15" s="129">
        <f>IFERROR(INDEX('5'!C$300:C$400,MATCH("*"&amp;F15&amp;"*",'5'!B$300:B$400,0)),"  ")</f>
        <v>19</v>
      </c>
      <c r="U15" s="129">
        <f>IFERROR(INDEX('6'!C$300:C$400,MATCH("*"&amp;F15&amp;"*",'6'!B$300:B$400,0)),"  ")</f>
        <v>20</v>
      </c>
      <c r="V15" s="129">
        <f>IFERROR(INDEX('7'!C$300:C$400,MATCH("*"&amp;F15&amp;"*",'7'!B$300:B$400,0)),"  ")</f>
        <v>26</v>
      </c>
      <c r="W15" s="129">
        <f>IFERROR(INDEX('8'!C$300:C$400,MATCH("*"&amp;F15&amp;"*",'8'!B$300:B$400,0)),"  ")</f>
        <v>16</v>
      </c>
      <c r="X15" s="129">
        <f>IFERROR(INDEX('9'!C$300:C$400,MATCH("*"&amp;F15&amp;"*",'9'!B$300:B$400,0)),"  ")</f>
        <v>30</v>
      </c>
      <c r="Y15" s="129">
        <f>IFERROR(INDEX('10'!C$300:C$400,MATCH("*"&amp;F15&amp;"*",'10'!B$300:B$400,0)),"  ")</f>
        <v>22</v>
      </c>
      <c r="Z15" s="128">
        <f>IFERROR(INDEX('11'!C$300:C$400,MATCH("*"&amp;F15&amp;"*",'11'!B$300:B$400,0)),"  ")</f>
        <v>24</v>
      </c>
      <c r="AA15" s="129">
        <f>IFERROR(INDEX('12'!C$300:C$400,MATCH("*"&amp;F15&amp;"*",'12'!B$300:B$400,0)),"  ")</f>
        <v>26</v>
      </c>
      <c r="AB15" s="129">
        <f>IFERROR(INDEX('13'!C$300:C$400,MATCH("*"&amp;F15&amp;"*",'13'!B$300:B$400,0)),"  ")</f>
        <v>34</v>
      </c>
      <c r="AC15" s="130">
        <f t="shared" si="4"/>
        <v>13</v>
      </c>
      <c r="AD15" s="130">
        <f t="shared" si="5"/>
        <v>4</v>
      </c>
      <c r="AE15" s="130">
        <f t="shared" si="6"/>
        <v>0</v>
      </c>
      <c r="AF15" s="1346">
        <f t="shared" si="7"/>
        <v>26.000699999999998</v>
      </c>
      <c r="AG15" s="1346">
        <f t="shared" si="8"/>
        <v>20.0002</v>
      </c>
      <c r="AH15" s="1346">
        <f t="shared" si="9"/>
        <v>2.0003000000000002</v>
      </c>
      <c r="AI15" s="1346">
        <f t="shared" si="10"/>
        <v>16.000800000000002</v>
      </c>
      <c r="AK15" s="113"/>
    </row>
    <row r="16" spans="1:41" s="290" customFormat="1" x14ac:dyDescent="0.2">
      <c r="A16" s="978" t="str">
        <f>IF(B16="","",COUNTIF(B$8:B$53,"&gt;="&amp;B16))</f>
        <v/>
      </c>
      <c r="B16" s="165" t="str">
        <f t="shared" si="0"/>
        <v/>
      </c>
      <c r="C16" s="1016" t="str">
        <f>IF(D16="","",COUNTIF(D$8:D$53,"&gt;="&amp;D16))</f>
        <v/>
      </c>
      <c r="D16" s="168" t="str">
        <f t="shared" si="1"/>
        <v/>
      </c>
      <c r="E16" s="1314">
        <f>RANK(L16,L$8:L$53,1)</f>
        <v>9</v>
      </c>
      <c r="F16" s="30" t="s">
        <v>101</v>
      </c>
      <c r="G16" s="149"/>
      <c r="H16" s="150"/>
      <c r="I16" s="1379">
        <f>(IF(COUNT(R16,T16,W16,Y16,AB16)&lt;3,SUM(R16,T16,W16,Y16,AB16),SUM(LARGE((R16,T16,W16,Y16,AB16),{1;2;3}))))+(IF(COUNT(Q16,U16,X16,Z16)&lt;3,SUM(Q16,U16,X16,Z16),SUM(LARGE((Q16,U16,X16,Z16),{1;2;3}))))+(IF(COUNT(P16,S16,V16,AA16)&lt;3,SUM(P16,S16,V16,AA16),SUM(LARGE((P16,S16,V16,AA16),{1;2;3}))))</f>
        <v>241</v>
      </c>
      <c r="J16" s="164" t="str">
        <f>INDEX(ETAPP!B$1:B$32,MATCH(COUNTIF(P16:AB16,PIV!A$1),ETAPP!A$1:A$32,0))&amp;INDEX(ETAPP!B$1:B$32,MATCH(COUNTIF(P16:AB16,PIV!A$2),ETAPP!A$1:A$32,0))&amp;INDEX(ETAPP!B$1:B$32,MATCH(COUNTIF(P16:AB16,PIV!A$3),ETAPP!A$1:A$32,0))&amp;INDEX(ETAPP!B$1:B$32,MATCH(COUNTIF(P16:AB16,PIV!A$4),ETAPP!A$1:A$32,0))&amp;INDEX(ETAPP!B$1:B$32,MATCH(COUNTIF(P16:AB16,PIV!A$5),ETAPP!A$1:A$32,0))&amp;INDEX(ETAPP!B$1:B$32,MATCH(COUNTIF(P16:AB16,PIV!A$6),ETAPP!A$1:A$32,0))&amp;INDEX(ETAPP!B$1:B$32,MATCH(COUNTIF(P16:AB16,PIV!A$7),ETAPP!A$1:A$32,0))&amp;INDEX(ETAPP!B$1:B$32,MATCH(COUNTIF(P16:AB16,PIV!A$8),ETAPP!A$1:A$32,0))&amp;INDEX(ETAPP!B$1:B$32,MATCH(COUNTIF(P16:AB16,PIV!A$9),ETAPP!A$1:A$32,0))&amp;INDEX(ETAPP!B$1:B$32,MATCH(COUNTIF(P16:AB16,PIV!A$10),ETAPP!A$1:A$32,0))&amp;INDEX(ETAPP!B$1:B$32,MATCH(COUNTIF(P16:AB16,PIV!A$11),ETAPP!A$1:A$32,0))&amp;INDEX(ETAPP!B$1:B$32,MATCH(COUNTIF(P16:AB16,PIV!A$12),ETAPP!A$1:A$32,0))&amp;INDEX(ETAPP!B$1:B$32,MATCH(COUNTIF(P16:AB16,PIV!A$13),ETAPP!A$1:A$32,0))&amp;INDEX(ETAPP!B$1:B$32,MATCH(COUNTIF(P16:AB16,PIV!A$14),ETAPP!A$1:A$32,0))&amp;INDEX(ETAPP!B$1:B$32,MATCH(COUNTIF(P16:AB16,PIV!A$15),ETAPP!A$1:A$32,0))&amp;INDEX(ETAPP!B$1:B$32,MATCH(COUNTIF(P16:AB16,PIV!A$16),ETAPP!A$1:A$32,0))&amp;INDEX(ETAPP!B$1:B$32,MATCH(COUNTIF(P16:AB16,PIV!A$17),ETAPP!A$1:A$32,0))&amp;INDEX(ETAPP!B$1:B$32,MATCH(COUNTIF(P16:AB16,PIV!A$18),ETAPP!A$1:A$32,0))&amp;INDEX(ETAPP!B$1:B$32,MATCH(COUNTIF(P16:AB16,PIV!A$19),ETAPP!A$1:A$32,0))</f>
        <v>0CACB0000A00000000B</v>
      </c>
      <c r="K16" s="164" t="str">
        <f t="shared" si="2"/>
        <v>241,0-0CACB0000A00000000B</v>
      </c>
      <c r="L16" s="127">
        <f>COUNTIF(K$8:K$53,"&gt;="&amp;K16)</f>
        <v>9</v>
      </c>
      <c r="M16" s="127">
        <f>COUNTIF(F$8:F$53,"&gt;="&amp;F16)</f>
        <v>21</v>
      </c>
      <c r="N16" s="164" t="str">
        <f t="shared" si="3"/>
        <v>241,0-0CACB0000A00000000B-021</v>
      </c>
      <c r="O16" s="844">
        <f>COUNTIF(N$8:N$53,"&lt;="&amp;N16)</f>
        <v>38</v>
      </c>
      <c r="P16" s="128">
        <f>IFERROR(INDEX('1'!C$300:C$400,MATCH("*"&amp;F16&amp;"*",'1'!B$300:B$400,0)),"  ")</f>
        <v>34</v>
      </c>
      <c r="Q16" s="129">
        <f>IFERROR(INDEX('2'!C$300:C$400,MATCH("*"&amp;F16&amp;"*",'2'!B$300:B$400,0)),"  ")</f>
        <v>34</v>
      </c>
      <c r="R16" s="129">
        <f>IFERROR(INDEX('3'!C$300:C$400,MATCH("*"&amp;F16&amp;"*",'3'!B$300:B$400,0)),"  ")</f>
        <v>24</v>
      </c>
      <c r="S16" s="129">
        <f>IFERROR(INDEX('4'!C$300:C$400,MATCH("*"&amp;F16&amp;"*",'4'!B$300:B$400,0)),"  ")</f>
        <v>34</v>
      </c>
      <c r="T16" s="129">
        <f>IFERROR(INDEX('5'!C$300:C$400,MATCH("*"&amp;F16&amp;"*",'5'!B$300:B$400,0)),"  ")</f>
        <v>19</v>
      </c>
      <c r="U16" s="129">
        <f>IFERROR(INDEX('6'!C$300:C$400,MATCH("*"&amp;F16&amp;"*",'6'!B$300:B$400,0)),"  ")</f>
        <v>26</v>
      </c>
      <c r="V16" s="129">
        <f>IFERROR(INDEX('7'!C$300:C$400,MATCH("*"&amp;F16&amp;"*",'7'!B$300:B$400,0)),"  ")</f>
        <v>26</v>
      </c>
      <c r="W16" s="129" t="str">
        <f>IFERROR(INDEX('8'!C$300:C$400,MATCH("*"&amp;F16&amp;"*",'8'!B$300:B$400,0)),"  ")</f>
        <v xml:space="preserve">  </v>
      </c>
      <c r="X16" s="129">
        <f>IFERROR(INDEX('9'!C$300:C$400,MATCH("*"&amp;F16&amp;"*",'9'!B$300:B$400,0)),"  ")</f>
        <v>24</v>
      </c>
      <c r="Y16" s="129" t="str">
        <f>IFERROR(INDEX('10'!C$300:C$400,MATCH("*"&amp;F16&amp;"*",'10'!B$300:B$400,0)),"  ")</f>
        <v xml:space="preserve">  </v>
      </c>
      <c r="Z16" s="128">
        <f>IFERROR(INDEX('11'!C$300:C$400,MATCH("*"&amp;F16&amp;"*",'11'!B$300:B$400,0)),"  ")</f>
        <v>30</v>
      </c>
      <c r="AA16" s="129">
        <f>IFERROR(INDEX('12'!C$300:C$400,MATCH("*"&amp;F16&amp;"*",'12'!B$300:B$400,0)),"  ")</f>
        <v>26</v>
      </c>
      <c r="AB16" s="129">
        <f>IFERROR(INDEX('13'!C$300:C$400,MATCH("*"&amp;F16&amp;"*",'13'!B$300:B$400,0)),"  ")</f>
        <v>14</v>
      </c>
      <c r="AC16" s="130">
        <f t="shared" si="4"/>
        <v>11</v>
      </c>
      <c r="AD16" s="130">
        <f t="shared" si="5"/>
        <v>4</v>
      </c>
      <c r="AE16" s="130">
        <f t="shared" si="6"/>
        <v>0</v>
      </c>
      <c r="AF16" s="1346">
        <f t="shared" si="7"/>
        <v>26.000699999999998</v>
      </c>
      <c r="AG16" s="1346">
        <f t="shared" si="8"/>
        <v>24.000900000000001</v>
      </c>
      <c r="AH16" s="1346">
        <f t="shared" si="9"/>
        <v>8.0000000000000004E-4</v>
      </c>
      <c r="AI16" s="1346">
        <f t="shared" si="10"/>
        <v>1E-3</v>
      </c>
      <c r="AK16" s="113"/>
    </row>
    <row r="17" spans="1:37" s="290" customFormat="1" x14ac:dyDescent="0.2">
      <c r="A17" s="978" t="str">
        <f>IF(B17="","",COUNTIF(B$8:B$53,"&gt;="&amp;B17))</f>
        <v/>
      </c>
      <c r="B17" s="165" t="str">
        <f t="shared" si="0"/>
        <v/>
      </c>
      <c r="C17" s="1017">
        <f>IF(D17="","",COUNTIF(D$8:D$53,"&gt;="&amp;D17))</f>
        <v>1</v>
      </c>
      <c r="D17" s="168" t="str">
        <f t="shared" si="1"/>
        <v>196,0-A0BBA0B00000000000E</v>
      </c>
      <c r="E17" s="1314">
        <f>RANK(L17,L$8:L$53,1)</f>
        <v>10</v>
      </c>
      <c r="F17" s="30" t="s">
        <v>88</v>
      </c>
      <c r="G17" s="152"/>
      <c r="H17" s="166" t="s">
        <v>138</v>
      </c>
      <c r="I17" s="1379">
        <f>(IF(COUNT(R17,T17,W17,Y17,AB17)&lt;3,SUM(R17,T17,W17,Y17,AB17),SUM(LARGE((R17,T17,W17,Y17,AB17),{1;2;3}))))+(IF(COUNT(Q17,U17,X17,Z17)&lt;3,SUM(Q17,U17,X17,Z17),SUM(LARGE((Q17,U17,X17,Z17),{1;2;3}))))+(IF(COUNT(P17,S17,V17,AA17)&lt;3,SUM(P17,S17,V17,AA17),SUM(LARGE((P17,S17,V17,AA17),{1;2;3}))))</f>
        <v>196</v>
      </c>
      <c r="J17" s="164" t="str">
        <f>INDEX(ETAPP!B$1:B$32,MATCH(COUNTIF(P17:AB17,PIV!A$1),ETAPP!A$1:A$32,0))&amp;INDEX(ETAPP!B$1:B$32,MATCH(COUNTIF(P17:AB17,PIV!A$2),ETAPP!A$1:A$32,0))&amp;INDEX(ETAPP!B$1:B$32,MATCH(COUNTIF(P17:AB17,PIV!A$3),ETAPP!A$1:A$32,0))&amp;INDEX(ETAPP!B$1:B$32,MATCH(COUNTIF(P17:AB17,PIV!A$4),ETAPP!A$1:A$32,0))&amp;INDEX(ETAPP!B$1:B$32,MATCH(COUNTIF(P17:AB17,PIV!A$5),ETAPP!A$1:A$32,0))&amp;INDEX(ETAPP!B$1:B$32,MATCH(COUNTIF(P17:AB17,PIV!A$6),ETAPP!A$1:A$32,0))&amp;INDEX(ETAPP!B$1:B$32,MATCH(COUNTIF(P17:AB17,PIV!A$7),ETAPP!A$1:A$32,0))&amp;INDEX(ETAPP!B$1:B$32,MATCH(COUNTIF(P17:AB17,PIV!A$8),ETAPP!A$1:A$32,0))&amp;INDEX(ETAPP!B$1:B$32,MATCH(COUNTIF(P17:AB17,PIV!A$9),ETAPP!A$1:A$32,0))&amp;INDEX(ETAPP!B$1:B$32,MATCH(COUNTIF(P17:AB17,PIV!A$10),ETAPP!A$1:A$32,0))&amp;INDEX(ETAPP!B$1:B$32,MATCH(COUNTIF(P17:AB17,PIV!A$11),ETAPP!A$1:A$32,0))&amp;INDEX(ETAPP!B$1:B$32,MATCH(COUNTIF(P17:AB17,PIV!A$12),ETAPP!A$1:A$32,0))&amp;INDEX(ETAPP!B$1:B$32,MATCH(COUNTIF(P17:AB17,PIV!A$13),ETAPP!A$1:A$32,0))&amp;INDEX(ETAPP!B$1:B$32,MATCH(COUNTIF(P17:AB17,PIV!A$14),ETAPP!A$1:A$32,0))&amp;INDEX(ETAPP!B$1:B$32,MATCH(COUNTIF(P17:AB17,PIV!A$15),ETAPP!A$1:A$32,0))&amp;INDEX(ETAPP!B$1:B$32,MATCH(COUNTIF(P17:AB17,PIV!A$16),ETAPP!A$1:A$32,0))&amp;INDEX(ETAPP!B$1:B$32,MATCH(COUNTIF(P17:AB17,PIV!A$17),ETAPP!A$1:A$32,0))&amp;INDEX(ETAPP!B$1:B$32,MATCH(COUNTIF(P17:AB17,PIV!A$18),ETAPP!A$1:A$32,0))&amp;INDEX(ETAPP!B$1:B$32,MATCH(COUNTIF(P17:AB17,PIV!A$19),ETAPP!A$1:A$32,0))</f>
        <v>A0BBA0B00000000000E</v>
      </c>
      <c r="K17" s="164" t="str">
        <f t="shared" si="2"/>
        <v>196,0-A0BBA0B00000000000E</v>
      </c>
      <c r="L17" s="127">
        <f>COUNTIF(K$8:K$53,"&gt;="&amp;K17)</f>
        <v>10</v>
      </c>
      <c r="M17" s="127">
        <f>COUNTIF(F$8:F$53,"&gt;="&amp;F17)</f>
        <v>15</v>
      </c>
      <c r="N17" s="164" t="str">
        <f t="shared" si="3"/>
        <v>196,0-A0BBA0B00000000000E-015</v>
      </c>
      <c r="O17" s="844">
        <f>COUNTIF(N$8:N$53,"&lt;="&amp;N17)</f>
        <v>37</v>
      </c>
      <c r="P17" s="128" t="str">
        <f>IFERROR(INDEX('1'!C$300:C$400,MATCH("*"&amp;F17&amp;"*",'1'!B$300:B$400,0)),"  ")</f>
        <v xml:space="preserve">  </v>
      </c>
      <c r="Q17" s="129">
        <f>IFERROR(INDEX('2'!C$300:C$400,MATCH("*"&amp;F17&amp;"*",'2'!B$300:B$400,0)),"  ")</f>
        <v>20</v>
      </c>
      <c r="R17" s="129" t="str">
        <f>IFERROR(INDEX('3'!C$300:C$400,MATCH("*"&amp;F17&amp;"*",'3'!B$300:B$400,0)),"  ")</f>
        <v xml:space="preserve">  </v>
      </c>
      <c r="S17" s="129" t="str">
        <f>IFERROR(INDEX('4'!C$300:C$400,MATCH("*"&amp;F17&amp;"*",'4'!B$300:B$400,0)),"  ")</f>
        <v xml:space="preserve">  </v>
      </c>
      <c r="T17" s="129">
        <f>IFERROR(INDEX('5'!C$300:C$400,MATCH("*"&amp;F17&amp;"*",'5'!B$300:B$400,0)),"  ")</f>
        <v>30</v>
      </c>
      <c r="U17" s="129">
        <f>IFERROR(INDEX('6'!C$300:C$400,MATCH("*"&amp;F17&amp;"*",'6'!B$300:B$400,0)),"  ")</f>
        <v>20</v>
      </c>
      <c r="V17" s="129">
        <f>IFERROR(INDEX('7'!C$300:C$400,MATCH("*"&amp;F17&amp;"*",'7'!B$300:B$400,0)),"  ")</f>
        <v>26</v>
      </c>
      <c r="W17" s="129" t="str">
        <f>IFERROR(INDEX('8'!C$300:C$400,MATCH("*"&amp;F17&amp;"*",'8'!B$300:B$400,0)),"  ")</f>
        <v xml:space="preserve">  </v>
      </c>
      <c r="X17" s="129">
        <f>IFERROR(INDEX('9'!C$300:C$400,MATCH("*"&amp;F17&amp;"*",'9'!B$300:B$400,0)),"  ")</f>
        <v>30</v>
      </c>
      <c r="Y17" s="129">
        <f>IFERROR(INDEX('10'!C$300:C$400,MATCH("*"&amp;F17&amp;"*",'10'!B$300:B$400,0)),"  ")</f>
        <v>40</v>
      </c>
      <c r="Z17" s="128">
        <f>IFERROR(INDEX('11'!C$300:C$400,MATCH("*"&amp;F17&amp;"*",'11'!B$300:B$400,0)),"  ")</f>
        <v>24</v>
      </c>
      <c r="AA17" s="129">
        <f>IFERROR(INDEX('12'!C$300:C$400,MATCH("*"&amp;F17&amp;"*",'12'!B$300:B$400,0)),"  ")</f>
        <v>26</v>
      </c>
      <c r="AB17" s="129" t="str">
        <f>IFERROR(INDEX('13'!C$300:C$400,MATCH("*"&amp;F17&amp;"*",'13'!B$300:B$400,0)),"  ")</f>
        <v xml:space="preserve">  </v>
      </c>
      <c r="AC17" s="130">
        <f t="shared" si="4"/>
        <v>8</v>
      </c>
      <c r="AD17" s="130">
        <f t="shared" si="5"/>
        <v>3</v>
      </c>
      <c r="AE17" s="130">
        <f t="shared" si="6"/>
        <v>1</v>
      </c>
      <c r="AF17" s="1346">
        <f t="shared" si="7"/>
        <v>1E-4</v>
      </c>
      <c r="AG17" s="1346">
        <f t="shared" si="8"/>
        <v>20.0002</v>
      </c>
      <c r="AH17" s="1346">
        <f t="shared" si="9"/>
        <v>2.9999999999999997E-4</v>
      </c>
      <c r="AI17" s="1346">
        <f t="shared" si="10"/>
        <v>8.0000000000000004E-4</v>
      </c>
      <c r="AK17" s="113"/>
    </row>
    <row r="18" spans="1:37" s="290" customFormat="1" x14ac:dyDescent="0.2">
      <c r="A18" s="978" t="str">
        <f>IF(B18="","",COUNTIF(B$8:B$53,"&gt;="&amp;B18))</f>
        <v/>
      </c>
      <c r="B18" s="165" t="str">
        <f t="shared" si="0"/>
        <v/>
      </c>
      <c r="C18" s="1016" t="str">
        <f>IF(D18="","",COUNTIF(D$8:D$53,"&gt;="&amp;D18))</f>
        <v/>
      </c>
      <c r="D18" s="168" t="str">
        <f t="shared" si="1"/>
        <v/>
      </c>
      <c r="E18" s="1314">
        <f>RANK(L18,L$8:L$53,1)</f>
        <v>11</v>
      </c>
      <c r="F18" s="30" t="s">
        <v>106</v>
      </c>
      <c r="G18" s="149"/>
      <c r="H18" s="150"/>
      <c r="I18" s="1379">
        <f>(IF(COUNT(R18,T18,W18,Y18,AB18)&lt;3,SUM(R18,T18,W18,Y18,AB18),SUM(LARGE((R18,T18,W18,Y18,AB18),{1;2;3}))))+(IF(COUNT(Q18,U18,X18,Z18)&lt;3,SUM(Q18,U18,X18,Z18),SUM(LARGE((Q18,U18,X18,Z18),{1;2;3}))))+(IF(COUNT(P18,S18,V18,AA18)&lt;3,SUM(P18,S18,V18,AA18),SUM(LARGE((P18,S18,V18,AA18),{1;2;3}))))</f>
        <v>190</v>
      </c>
      <c r="J18" s="164" t="str">
        <f>INDEX(ETAPP!B$1:B$32,MATCH(COUNTIF(P18:AB18,PIV!A$1),ETAPP!A$1:A$32,0))&amp;INDEX(ETAPP!B$1:B$32,MATCH(COUNTIF(P18:AB18,PIV!A$2),ETAPP!A$1:A$32,0))&amp;INDEX(ETAPP!B$1:B$32,MATCH(COUNTIF(P18:AB18,PIV!A$3),ETAPP!A$1:A$32,0))&amp;INDEX(ETAPP!B$1:B$32,MATCH(COUNTIF(P18:AB18,PIV!A$4),ETAPP!A$1:A$32,0))&amp;INDEX(ETAPP!B$1:B$32,MATCH(COUNTIF(P18:AB18,PIV!A$5),ETAPP!A$1:A$32,0))&amp;INDEX(ETAPP!B$1:B$32,MATCH(COUNTIF(P18:AB18,PIV!A$6),ETAPP!A$1:A$32,0))&amp;INDEX(ETAPP!B$1:B$32,MATCH(COUNTIF(P18:AB18,PIV!A$7),ETAPP!A$1:A$32,0))&amp;INDEX(ETAPP!B$1:B$32,MATCH(COUNTIF(P18:AB18,PIV!A$8),ETAPP!A$1:A$32,0))&amp;INDEX(ETAPP!B$1:B$32,MATCH(COUNTIF(P18:AB18,PIV!A$9),ETAPP!A$1:A$32,0))&amp;INDEX(ETAPP!B$1:B$32,MATCH(COUNTIF(P18:AB18,PIV!A$10),ETAPP!A$1:A$32,0))&amp;INDEX(ETAPP!B$1:B$32,MATCH(COUNTIF(P18:AB18,PIV!A$11),ETAPP!A$1:A$32,0))&amp;INDEX(ETAPP!B$1:B$32,MATCH(COUNTIF(P18:AB18,PIV!A$12),ETAPP!A$1:A$32,0))&amp;INDEX(ETAPP!B$1:B$32,MATCH(COUNTIF(P18:AB18,PIV!A$13),ETAPP!A$1:A$32,0))&amp;INDEX(ETAPP!B$1:B$32,MATCH(COUNTIF(P18:AB18,PIV!A$14),ETAPP!A$1:A$32,0))&amp;INDEX(ETAPP!B$1:B$32,MATCH(COUNTIF(P18:AB18,PIV!A$15),ETAPP!A$1:A$32,0))&amp;INDEX(ETAPP!B$1:B$32,MATCH(COUNTIF(P18:AB18,PIV!A$16),ETAPP!A$1:A$32,0))&amp;INDEX(ETAPP!B$1:B$32,MATCH(COUNTIF(P18:AB18,PIV!A$17),ETAPP!A$1:A$32,0))&amp;INDEX(ETAPP!B$1:B$32,MATCH(COUNTIF(P18:AB18,PIV!A$18),ETAPP!A$1:A$32,0))&amp;INDEX(ETAPP!B$1:B$32,MATCH(COUNTIF(P18:AB18,PIV!A$19),ETAPP!A$1:A$32,0))</f>
        <v>D0AA00000000000000G</v>
      </c>
      <c r="K18" s="164" t="str">
        <f t="shared" si="2"/>
        <v>190,0-D0AA00000000000000G</v>
      </c>
      <c r="L18" s="127">
        <f>COUNTIF(K$8:K$53,"&gt;="&amp;K18)</f>
        <v>11</v>
      </c>
      <c r="M18" s="127">
        <f>COUNTIF(F$8:F$53,"&gt;="&amp;F18)</f>
        <v>23</v>
      </c>
      <c r="N18" s="164" t="str">
        <f t="shared" si="3"/>
        <v>190,0-D0AA00000000000000G-023</v>
      </c>
      <c r="O18" s="844">
        <f>COUNTIF(N$8:N$53,"&lt;="&amp;N18)</f>
        <v>36</v>
      </c>
      <c r="P18" s="128">
        <f>IFERROR(INDEX('1'!C$300:C$400,MATCH("*"&amp;F18&amp;"*",'1'!B$300:B$400,0)),"  ")</f>
        <v>40</v>
      </c>
      <c r="Q18" s="129">
        <f>IFERROR(INDEX('2'!C$300:C$400,MATCH("*"&amp;F18&amp;"*",'2'!B$300:B$400,0)),"  ")</f>
        <v>40</v>
      </c>
      <c r="R18" s="129" t="str">
        <f>IFERROR(INDEX('3'!C$300:C$400,MATCH("*"&amp;F18&amp;"*",'3'!B$300:B$400,0)),"  ")</f>
        <v xml:space="preserve">  </v>
      </c>
      <c r="S18" s="129" t="str">
        <f>IFERROR(INDEX('4'!C$300:C$400,MATCH("*"&amp;F18&amp;"*",'4'!B$300:B$400,0)),"  ")</f>
        <v xml:space="preserve">  </v>
      </c>
      <c r="T18" s="129" t="str">
        <f>IFERROR(INDEX('5'!C$300:C$400,MATCH("*"&amp;F18&amp;"*",'5'!B$300:B$400,0)),"  ")</f>
        <v xml:space="preserve">  </v>
      </c>
      <c r="U18" s="129">
        <f>IFERROR(INDEX('6'!C$300:C$400,MATCH("*"&amp;F18&amp;"*",'6'!B$300:B$400,0)),"  ")</f>
        <v>40</v>
      </c>
      <c r="V18" s="129" t="str">
        <f>IFERROR(INDEX('7'!C$300:C$400,MATCH("*"&amp;F18&amp;"*",'7'!B$300:B$400,0)),"  ")</f>
        <v xml:space="preserve">  </v>
      </c>
      <c r="W18" s="129" t="str">
        <f>IFERROR(INDEX('8'!C$300:C$400,MATCH("*"&amp;F18&amp;"*",'8'!B$300:B$400,0)),"  ")</f>
        <v xml:space="preserve">  </v>
      </c>
      <c r="X18" s="129">
        <f>IFERROR(INDEX('9'!C$300:C$400,MATCH("*"&amp;F18&amp;"*",'9'!B$300:B$400,0)),"  ")</f>
        <v>26</v>
      </c>
      <c r="Y18" s="129" t="str">
        <f>IFERROR(INDEX('10'!C$300:C$400,MATCH("*"&amp;F18&amp;"*",'10'!B$300:B$400,0)),"  ")</f>
        <v xml:space="preserve">  </v>
      </c>
      <c r="Z18" s="128">
        <f>IFERROR(INDEX('11'!C$300:C$400,MATCH("*"&amp;F18&amp;"*",'11'!B$300:B$400,0)),"  ")</f>
        <v>40</v>
      </c>
      <c r="AA18" s="129">
        <f>IFERROR(INDEX('12'!C$300:C$400,MATCH("*"&amp;F18&amp;"*",'12'!B$300:B$400,0)),"  ")</f>
        <v>30</v>
      </c>
      <c r="AB18" s="129" t="str">
        <f>IFERROR(INDEX('13'!C$300:C$400,MATCH("*"&amp;F18&amp;"*",'13'!B$300:B$400,0)),"  ")</f>
        <v xml:space="preserve">  </v>
      </c>
      <c r="AC18" s="130">
        <f t="shared" si="4"/>
        <v>6</v>
      </c>
      <c r="AD18" s="130">
        <f t="shared" si="5"/>
        <v>5</v>
      </c>
      <c r="AE18" s="130">
        <f t="shared" si="6"/>
        <v>4</v>
      </c>
      <c r="AF18" s="1346">
        <f t="shared" si="7"/>
        <v>4.0000000000000002E-4</v>
      </c>
      <c r="AG18" s="1346">
        <f t="shared" si="8"/>
        <v>26.000900000000001</v>
      </c>
      <c r="AH18" s="1346">
        <f t="shared" si="9"/>
        <v>2.9999999999999997E-4</v>
      </c>
      <c r="AI18" s="1346">
        <f t="shared" si="10"/>
        <v>5.0000000000000001E-4</v>
      </c>
      <c r="AK18" s="113"/>
    </row>
    <row r="19" spans="1:37" x14ac:dyDescent="0.2">
      <c r="A19" s="978" t="str">
        <f>IF(B19="","",COUNTIF(B$8:B$53,"&gt;="&amp;B19))</f>
        <v/>
      </c>
      <c r="B19" s="165" t="str">
        <f t="shared" si="0"/>
        <v/>
      </c>
      <c r="C19" s="1016" t="str">
        <f>IF(D19="","",COUNTIF(D$8:D$53,"&gt;="&amp;D19))</f>
        <v/>
      </c>
      <c r="D19" s="168" t="str">
        <f t="shared" si="1"/>
        <v/>
      </c>
      <c r="E19" s="1314">
        <f>RANK(L19,L$8:L$53,1)</f>
        <v>12</v>
      </c>
      <c r="F19" s="30" t="s">
        <v>102</v>
      </c>
      <c r="G19" s="149"/>
      <c r="H19" s="150"/>
      <c r="I19" s="1379">
        <f>(IF(COUNT(R19,T19,W19,Y19,AB19)&lt;3,SUM(R19,T19,W19,Y19,AB19),SUM(LARGE((R19,T19,W19,Y19,AB19),{1;2;3}))))+(IF(COUNT(Q19,U19,X19,Z19)&lt;3,SUM(Q19,U19,X19,Z19),SUM(LARGE((Q19,U19,X19,Z19),{1;2;3}))))+(IF(COUNT(P19,S19,V19,AA19)&lt;3,SUM(P19,S19,V19,AA19),SUM(LARGE((P19,S19,V19,AA19),{1;2;3}))))</f>
        <v>186</v>
      </c>
      <c r="J19" s="164" t="str">
        <f>INDEX(ETAPP!B$1:B$32,MATCH(COUNTIF(P19:AB19,PIV!A$1),ETAPP!A$1:A$32,0))&amp;INDEX(ETAPP!B$1:B$32,MATCH(COUNTIF(P19:AB19,PIV!A$2),ETAPP!A$1:A$32,0))&amp;INDEX(ETAPP!B$1:B$32,MATCH(COUNTIF(P19:AB19,PIV!A$3),ETAPP!A$1:A$32,0))&amp;INDEX(ETAPP!B$1:B$32,MATCH(COUNTIF(P19:AB19,PIV!A$4),ETAPP!A$1:A$32,0))&amp;INDEX(ETAPP!B$1:B$32,MATCH(COUNTIF(P19:AB19,PIV!A$5),ETAPP!A$1:A$32,0))&amp;INDEX(ETAPP!B$1:B$32,MATCH(COUNTIF(P19:AB19,PIV!A$6),ETAPP!A$1:A$32,0))&amp;INDEX(ETAPP!B$1:B$32,MATCH(COUNTIF(P19:AB19,PIV!A$7),ETAPP!A$1:A$32,0))&amp;INDEX(ETAPP!B$1:B$32,MATCH(COUNTIF(P19:AB19,PIV!A$8),ETAPP!A$1:A$32,0))&amp;INDEX(ETAPP!B$1:B$32,MATCH(COUNTIF(P19:AB19,PIV!A$9),ETAPP!A$1:A$32,0))&amp;INDEX(ETAPP!B$1:B$32,MATCH(COUNTIF(P19:AB19,PIV!A$10),ETAPP!A$1:A$32,0))&amp;INDEX(ETAPP!B$1:B$32,MATCH(COUNTIF(P19:AB19,PIV!A$11),ETAPP!A$1:A$32,0))&amp;INDEX(ETAPP!B$1:B$32,MATCH(COUNTIF(P19:AB19,PIV!A$12),ETAPP!A$1:A$32,0))&amp;INDEX(ETAPP!B$1:B$32,MATCH(COUNTIF(P19:AB19,PIV!A$13),ETAPP!A$1:A$32,0))&amp;INDEX(ETAPP!B$1:B$32,MATCH(COUNTIF(P19:AB19,PIV!A$14),ETAPP!A$1:A$32,0))&amp;INDEX(ETAPP!B$1:B$32,MATCH(COUNTIF(P19:AB19,PIV!A$15),ETAPP!A$1:A$32,0))&amp;INDEX(ETAPP!B$1:B$32,MATCH(COUNTIF(P19:AB19,PIV!A$16),ETAPP!A$1:A$32,0))&amp;INDEX(ETAPP!B$1:B$32,MATCH(COUNTIF(P19:AB19,PIV!A$17),ETAPP!A$1:A$32,0))&amp;INDEX(ETAPP!B$1:B$32,MATCH(COUNTIF(P19:AB19,PIV!A$18),ETAPP!A$1:A$32,0))&amp;INDEX(ETAPP!B$1:B$32,MATCH(COUNTIF(P19:AB19,PIV!A$19),ETAPP!A$1:A$32,0))</f>
        <v>00AC0AAB0A00000000D</v>
      </c>
      <c r="K19" s="164" t="str">
        <f t="shared" si="2"/>
        <v>186,0-00AC0AAB0A00000000D</v>
      </c>
      <c r="L19" s="127">
        <f>COUNTIF(K$8:K$53,"&gt;="&amp;K19)</f>
        <v>12</v>
      </c>
      <c r="M19" s="127">
        <f>COUNTIF(F$8:F$53,"&gt;="&amp;F19)</f>
        <v>3</v>
      </c>
      <c r="N19" s="164" t="str">
        <f t="shared" si="3"/>
        <v>186,0-00AC0AAB0A00000000D-003</v>
      </c>
      <c r="O19" s="844">
        <f>COUNTIF(N$8:N$53,"&lt;="&amp;N19)</f>
        <v>35</v>
      </c>
      <c r="P19" s="128">
        <f>IFERROR(INDEX('1'!C$300:C$400,MATCH("*"&amp;F19&amp;"*",'1'!B$300:B$400,0)),"  ")</f>
        <v>26</v>
      </c>
      <c r="Q19" s="129">
        <f>IFERROR(INDEX('2'!C$300:C$400,MATCH("*"&amp;F19&amp;"*",'2'!B$300:B$400,0)),"  ")</f>
        <v>18</v>
      </c>
      <c r="R19" s="129">
        <f>IFERROR(INDEX('3'!C$300:C$400,MATCH("*"&amp;F19&amp;"*",'3'!B$300:B$400,0)),"  ")</f>
        <v>14</v>
      </c>
      <c r="S19" s="129">
        <f>IFERROR(INDEX('4'!C$300:C$400,MATCH("*"&amp;F19&amp;"*",'4'!B$300:B$400,0)),"  ")</f>
        <v>18</v>
      </c>
      <c r="T19" s="129">
        <f>IFERROR(INDEX('5'!C$300:C$400,MATCH("*"&amp;F19&amp;"*",'5'!B$300:B$400,0)),"  ")</f>
        <v>26</v>
      </c>
      <c r="U19" s="129">
        <f>IFERROR(INDEX('6'!C$300:C$400,MATCH("*"&amp;F19&amp;"*",'6'!B$300:B$400,0)),"  ")</f>
        <v>22</v>
      </c>
      <c r="V19" s="129">
        <f>IFERROR(INDEX('7'!C$300:C$400,MATCH("*"&amp;F19&amp;"*",'7'!B$300:B$400,0)),"  ")</f>
        <v>30</v>
      </c>
      <c r="W19" s="129">
        <f>IFERROR(INDEX('8'!C$300:C$400,MATCH("*"&amp;F19&amp;"*",'8'!B$300:B$400,0)),"  ")</f>
        <v>20</v>
      </c>
      <c r="X19" s="129" t="str">
        <f>IFERROR(INDEX('9'!C$300:C$400,MATCH("*"&amp;F19&amp;"*",'9'!B$300:B$400,0)),"  ")</f>
        <v xml:space="preserve">  </v>
      </c>
      <c r="Y19" s="129" t="str">
        <f>IFERROR(INDEX('10'!C$300:C$400,MATCH("*"&amp;F19&amp;"*",'10'!B$300:B$400,0)),"  ")</f>
        <v xml:space="preserve">  </v>
      </c>
      <c r="Z19" s="128" t="str">
        <f>IFERROR(INDEX('11'!C$300:C$400,MATCH("*"&amp;F19&amp;"*",'11'!B$300:B$400,0)),"  ")</f>
        <v xml:space="preserve">  </v>
      </c>
      <c r="AA19" s="129" t="str">
        <f>IFERROR(INDEX('12'!C$300:C$400,MATCH("*"&amp;F19&amp;"*",'12'!B$300:B$400,0)),"  ")</f>
        <v xml:space="preserve">  </v>
      </c>
      <c r="AB19" s="129">
        <f>IFERROR(INDEX('13'!C$300:C$400,MATCH("*"&amp;F19&amp;"*",'13'!B$300:B$400,0)),"  ")</f>
        <v>26</v>
      </c>
      <c r="AC19" s="130">
        <f t="shared" si="4"/>
        <v>9</v>
      </c>
      <c r="AD19" s="130">
        <f t="shared" si="5"/>
        <v>1</v>
      </c>
      <c r="AE19" s="130">
        <f t="shared" si="6"/>
        <v>0</v>
      </c>
      <c r="AF19" s="1346">
        <f t="shared" si="7"/>
        <v>1.1999999999999999E-3</v>
      </c>
      <c r="AG19" s="1346">
        <f t="shared" si="8"/>
        <v>8.9999999999999998E-4</v>
      </c>
      <c r="AH19" s="1346">
        <f t="shared" si="9"/>
        <v>1E-3</v>
      </c>
      <c r="AI19" s="1346">
        <f t="shared" si="10"/>
        <v>14.000299999999999</v>
      </c>
      <c r="AJ19" s="132"/>
      <c r="AK19" s="113"/>
    </row>
    <row r="20" spans="1:37" x14ac:dyDescent="0.2">
      <c r="A20" s="978" t="str">
        <f>IF(B20="","",COUNTIF(B$8:B$53,"&gt;="&amp;B20))</f>
        <v/>
      </c>
      <c r="B20" s="165" t="str">
        <f t="shared" si="0"/>
        <v/>
      </c>
      <c r="C20" s="1016" t="str">
        <f>IF(D20="","",COUNTIF(D$8:D$53,"&gt;="&amp;D20))</f>
        <v/>
      </c>
      <c r="D20" s="168" t="str">
        <f t="shared" si="1"/>
        <v/>
      </c>
      <c r="E20" s="1314">
        <f>RANK(L20,L$8:L$53,1)</f>
        <v>13</v>
      </c>
      <c r="F20" s="133" t="s">
        <v>109</v>
      </c>
      <c r="G20" s="149"/>
      <c r="H20" s="150"/>
      <c r="I20" s="1379">
        <f>(IF(COUNT(R20,T20,W20,Y20,AB20)&lt;3,SUM(R20,T20,W20,Y20,AB20),SUM(LARGE((R20,T20,W20,Y20,AB20),{1;2;3}))))+(IF(COUNT(Q20,U20,X20,Z20)&lt;3,SUM(Q20,U20,X20,Z20),SUM(LARGE((Q20,U20,X20,Z20),{1;2;3}))))+(IF(COUNT(P20,S20,V20,AA20)&lt;3,SUM(P20,S20,V20,AA20),SUM(LARGE((P20,S20,V20,AA20),{1;2;3}))))</f>
        <v>172</v>
      </c>
      <c r="J20" s="164" t="str">
        <f>INDEX(ETAPP!B$1:B$32,MATCH(COUNTIF(P20:AB20,PIV!A$1),ETAPP!A$1:A$32,0))&amp;INDEX(ETAPP!B$1:B$32,MATCH(COUNTIF(P20:AB20,PIV!A$2),ETAPP!A$1:A$32,0))&amp;INDEX(ETAPP!B$1:B$32,MATCH(COUNTIF(P20:AB20,PIV!A$3),ETAPP!A$1:A$32,0))&amp;INDEX(ETAPP!B$1:B$32,MATCH(COUNTIF(P20:AB20,PIV!A$4),ETAPP!A$1:A$32,0))&amp;INDEX(ETAPP!B$1:B$32,MATCH(COUNTIF(P20:AB20,PIV!A$5),ETAPP!A$1:A$32,0))&amp;INDEX(ETAPP!B$1:B$32,MATCH(COUNTIF(P20:AB20,PIV!A$6),ETAPP!A$1:A$32,0))&amp;INDEX(ETAPP!B$1:B$32,MATCH(COUNTIF(P20:AB20,PIV!A$7),ETAPP!A$1:A$32,0))&amp;INDEX(ETAPP!B$1:B$32,MATCH(COUNTIF(P20:AB20,PIV!A$8),ETAPP!A$1:A$32,0))&amp;INDEX(ETAPP!B$1:B$32,MATCH(COUNTIF(P20:AB20,PIV!A$9),ETAPP!A$1:A$32,0))&amp;INDEX(ETAPP!B$1:B$32,MATCH(COUNTIF(P20:AB20,PIV!A$10),ETAPP!A$1:A$32,0))&amp;INDEX(ETAPP!B$1:B$32,MATCH(COUNTIF(P20:AB20,PIV!A$11),ETAPP!A$1:A$32,0))&amp;INDEX(ETAPP!B$1:B$32,MATCH(COUNTIF(P20:AB20,PIV!A$12),ETAPP!A$1:A$32,0))&amp;INDEX(ETAPP!B$1:B$32,MATCH(COUNTIF(P20:AB20,PIV!A$13),ETAPP!A$1:A$32,0))&amp;INDEX(ETAPP!B$1:B$32,MATCH(COUNTIF(P20:AB20,PIV!A$14),ETAPP!A$1:A$32,0))&amp;INDEX(ETAPP!B$1:B$32,MATCH(COUNTIF(P20:AB20,PIV!A$15),ETAPP!A$1:A$32,0))&amp;INDEX(ETAPP!B$1:B$32,MATCH(COUNTIF(P20:AB20,PIV!A$16),ETAPP!A$1:A$32,0))&amp;INDEX(ETAPP!B$1:B$32,MATCH(COUNTIF(P20:AB20,PIV!A$17),ETAPP!A$1:A$32,0))&amp;INDEX(ETAPP!B$1:B$32,MATCH(COUNTIF(P20:AB20,PIV!A$18),ETAPP!A$1:A$32,0))&amp;INDEX(ETAPP!B$1:B$32,MATCH(COUNTIF(P20:AB20,PIV!A$19),ETAPP!A$1:A$32,0))</f>
        <v>0AA00ABA0C00000000D</v>
      </c>
      <c r="K20" s="164" t="str">
        <f t="shared" si="2"/>
        <v>172,0-0AA00ABA0C00000000D</v>
      </c>
      <c r="L20" s="127">
        <f>COUNTIF(K$8:K$53,"&gt;="&amp;K20)</f>
        <v>13</v>
      </c>
      <c r="M20" s="127">
        <f>COUNTIF(F$8:F$53,"&gt;="&amp;F20)</f>
        <v>16</v>
      </c>
      <c r="N20" s="164" t="str">
        <f t="shared" si="3"/>
        <v>172,0-0AA00ABA0C00000000D-016</v>
      </c>
      <c r="O20" s="844">
        <f>COUNTIF(N$8:N$53,"&lt;="&amp;N20)</f>
        <v>34</v>
      </c>
      <c r="P20" s="128" t="str">
        <f>IFERROR(INDEX('1'!C$300:C$400,MATCH("*"&amp;F20&amp;"*",'1'!B$300:B$400,0)),"  ")</f>
        <v xml:space="preserve">  </v>
      </c>
      <c r="Q20" s="129">
        <f>IFERROR(INDEX('2'!C$300:C$400,MATCH("*"&amp;F20&amp;"*",'2'!B$300:B$400,0)),"  ")</f>
        <v>30</v>
      </c>
      <c r="R20" s="129">
        <f>IFERROR(INDEX('3'!C$300:C$400,MATCH("*"&amp;F20&amp;"*",'3'!B$300:B$400,0)),"  ")</f>
        <v>20</v>
      </c>
      <c r="S20" s="129">
        <f>IFERROR(INDEX('4'!C$300:C$400,MATCH("*"&amp;F20&amp;"*",'4'!B$300:B$400,0)),"  ")</f>
        <v>14</v>
      </c>
      <c r="T20" s="129" t="str">
        <f>IFERROR(INDEX('5'!C$300:C$400,MATCH("*"&amp;F20&amp;"*",'5'!B$300:B$400,0)),"  ")</f>
        <v xml:space="preserve">  </v>
      </c>
      <c r="U20" s="129">
        <f>IFERROR(INDEX('6'!C$300:C$400,MATCH("*"&amp;F20&amp;"*",'6'!B$300:B$400,0)),"  ")</f>
        <v>14</v>
      </c>
      <c r="V20" s="129">
        <f>IFERROR(INDEX('7'!C$300:C$400,MATCH("*"&amp;F20&amp;"*",'7'!B$300:B$400,0)),"  ")</f>
        <v>22</v>
      </c>
      <c r="W20" s="129">
        <f>IFERROR(INDEX('8'!C$300:C$400,MATCH("*"&amp;F20&amp;"*",'8'!B$300:B$400,0)),"  ")</f>
        <v>14</v>
      </c>
      <c r="X20" s="129">
        <f>IFERROR(INDEX('9'!C$300:C$400,MATCH("*"&amp;F20&amp;"*",'9'!B$300:B$400,0)),"  ")</f>
        <v>20</v>
      </c>
      <c r="Y20" s="129">
        <f>IFERROR(INDEX('10'!C$300:C$400,MATCH("*"&amp;F20&amp;"*",'10'!B$300:B$400,0)),"  ")</f>
        <v>34</v>
      </c>
      <c r="Z20" s="128">
        <f>IFERROR(INDEX('11'!C$300:C$400,MATCH("*"&amp;F20&amp;"*",'11'!B$300:B$400,0)),"  ")</f>
        <v>18</v>
      </c>
      <c r="AA20" s="129" t="str">
        <f>IFERROR(INDEX('12'!C$300:C$400,MATCH("*"&amp;F20&amp;"*",'12'!B$300:B$400,0)),"  ")</f>
        <v xml:space="preserve">  </v>
      </c>
      <c r="AB20" s="129" t="str">
        <f>IFERROR(INDEX('13'!C$300:C$400,MATCH("*"&amp;F20&amp;"*",'13'!B$300:B$400,0)),"  ")</f>
        <v xml:space="preserve">  </v>
      </c>
      <c r="AC20" s="130">
        <f t="shared" si="4"/>
        <v>9</v>
      </c>
      <c r="AD20" s="130">
        <f t="shared" si="5"/>
        <v>2</v>
      </c>
      <c r="AE20" s="130">
        <f t="shared" si="6"/>
        <v>0</v>
      </c>
      <c r="AF20" s="1346">
        <f t="shared" si="7"/>
        <v>1E-4</v>
      </c>
      <c r="AG20" s="1346">
        <f t="shared" si="8"/>
        <v>14.0006</v>
      </c>
      <c r="AH20" s="1346">
        <f t="shared" si="9"/>
        <v>5.0000000000000001E-4</v>
      </c>
      <c r="AI20" s="1346">
        <f t="shared" si="10"/>
        <v>1.2999999999999999E-3</v>
      </c>
      <c r="AK20" s="113"/>
    </row>
    <row r="21" spans="1:37" x14ac:dyDescent="0.2">
      <c r="A21" s="978" t="str">
        <f>IF(B21="","",COUNTIF(B$8:B$53,"&gt;="&amp;B21))</f>
        <v/>
      </c>
      <c r="B21" s="165" t="str">
        <f t="shared" si="0"/>
        <v/>
      </c>
      <c r="C21" s="1016" t="str">
        <f>IF(D21="","",COUNTIF(D$8:D$53,"&gt;="&amp;D21))</f>
        <v/>
      </c>
      <c r="D21" s="168" t="str">
        <f t="shared" si="1"/>
        <v/>
      </c>
      <c r="E21" s="1314">
        <f>RANK(L21,L$8:L$53,1)</f>
        <v>14</v>
      </c>
      <c r="F21" s="133" t="s">
        <v>103</v>
      </c>
      <c r="G21" s="149"/>
      <c r="H21" s="150"/>
      <c r="I21" s="1379">
        <f>(IF(COUNT(R21,T21,W21,Y21,AB21)&lt;3,SUM(R21,T21,W21,Y21,AB21),SUM(LARGE((R21,T21,W21,Y21,AB21),{1;2;3}))))+(IF(COUNT(Q21,U21,X21,Z21)&lt;3,SUM(Q21,U21,X21,Z21),SUM(LARGE((Q21,U21,X21,Z21),{1;2;3}))))+(IF(COUNT(P21,S21,V21,AA21)&lt;3,SUM(P21,S21,V21,AA21),SUM(LARGE((P21,S21,V21,AA21),{1;2;3}))))</f>
        <v>162</v>
      </c>
      <c r="J21" s="164" t="str">
        <f>INDEX(ETAPP!B$1:B$32,MATCH(COUNTIF(P21:AB21,PIV!A$1),ETAPP!A$1:A$32,0))&amp;INDEX(ETAPP!B$1:B$32,MATCH(COUNTIF(P21:AB21,PIV!A$2),ETAPP!A$1:A$32,0))&amp;INDEX(ETAPP!B$1:B$32,MATCH(COUNTIF(P21:AB21,PIV!A$3),ETAPP!A$1:A$32,0))&amp;INDEX(ETAPP!B$1:B$32,MATCH(COUNTIF(P21:AB21,PIV!A$4),ETAPP!A$1:A$32,0))&amp;INDEX(ETAPP!B$1:B$32,MATCH(COUNTIF(P21:AB21,PIV!A$5),ETAPP!A$1:A$32,0))&amp;INDEX(ETAPP!B$1:B$32,MATCH(COUNTIF(P21:AB21,PIV!A$6),ETAPP!A$1:A$32,0))&amp;INDEX(ETAPP!B$1:B$32,MATCH(COUNTIF(P21:AB21,PIV!A$7),ETAPP!A$1:A$32,0))&amp;INDEX(ETAPP!B$1:B$32,MATCH(COUNTIF(P21:AB21,PIV!A$8),ETAPP!A$1:A$32,0))&amp;INDEX(ETAPP!B$1:B$32,MATCH(COUNTIF(P21:AB21,PIV!A$9),ETAPP!A$1:A$32,0))&amp;INDEX(ETAPP!B$1:B$32,MATCH(COUNTIF(P21:AB21,PIV!A$10),ETAPP!A$1:A$32,0))&amp;INDEX(ETAPP!B$1:B$32,MATCH(COUNTIF(P21:AB21,PIV!A$11),ETAPP!A$1:A$32,0))&amp;INDEX(ETAPP!B$1:B$32,MATCH(COUNTIF(P21:AB21,PIV!A$12),ETAPP!A$1:A$32,0))&amp;INDEX(ETAPP!B$1:B$32,MATCH(COUNTIF(P21:AB21,PIV!A$13),ETAPP!A$1:A$32,0))&amp;INDEX(ETAPP!B$1:B$32,MATCH(COUNTIF(P21:AB21,PIV!A$14),ETAPP!A$1:A$32,0))&amp;INDEX(ETAPP!B$1:B$32,MATCH(COUNTIF(P21:AB21,PIV!A$15),ETAPP!A$1:A$32,0))&amp;INDEX(ETAPP!B$1:B$32,MATCH(COUNTIF(P21:AB21,PIV!A$16),ETAPP!A$1:A$32,0))&amp;INDEX(ETAPP!B$1:B$32,MATCH(COUNTIF(P21:AB21,PIV!A$17),ETAPP!A$1:A$32,0))&amp;INDEX(ETAPP!B$1:B$32,MATCH(COUNTIF(P21:AB21,PIV!A$18),ETAPP!A$1:A$32,0))&amp;INDEX(ETAPP!B$1:B$32,MATCH(COUNTIF(P21:AB21,PIV!A$19),ETAPP!A$1:A$32,0))</f>
        <v>00AB0A0C000000A000E</v>
      </c>
      <c r="K21" s="164" t="str">
        <f t="shared" si="2"/>
        <v>162,0-00AB0A0C000000A000E</v>
      </c>
      <c r="L21" s="127">
        <f>COUNTIF(K$8:K$53,"&gt;="&amp;K21)</f>
        <v>14</v>
      </c>
      <c r="M21" s="127">
        <f>COUNTIF(F$8:F$53,"&gt;="&amp;F21)</f>
        <v>8</v>
      </c>
      <c r="N21" s="164" t="str">
        <f t="shared" si="3"/>
        <v>162,0-00AB0A0C000000A000E-008</v>
      </c>
      <c r="O21" s="844">
        <f>COUNTIF(N$8:N$53,"&lt;="&amp;N21)</f>
        <v>33</v>
      </c>
      <c r="P21" s="128">
        <f>IFERROR(INDEX('1'!C$300:C$400,MATCH("*"&amp;F21&amp;"*",'1'!B$300:B$400,0)),"  ")</f>
        <v>26</v>
      </c>
      <c r="Q21" s="129">
        <f>IFERROR(INDEX('2'!C$300:C$400,MATCH("*"&amp;F21&amp;"*",'2'!B$300:B$400,0)),"  ")</f>
        <v>18</v>
      </c>
      <c r="R21" s="129">
        <f>IFERROR(INDEX('3'!C$300:C$400,MATCH("*"&amp;F21&amp;"*",'3'!B$300:B$400,0)),"  ")</f>
        <v>26</v>
      </c>
      <c r="S21" s="129">
        <f>IFERROR(INDEX('4'!C$300:C$400,MATCH("*"&amp;F21&amp;"*",'4'!B$300:B$400,0)),"  ")</f>
        <v>18</v>
      </c>
      <c r="T21" s="129" t="str">
        <f>IFERROR(INDEX('5'!C$300:C$400,MATCH("*"&amp;F21&amp;"*",'5'!B$300:B$400,0)),"  ")</f>
        <v xml:space="preserve">  </v>
      </c>
      <c r="U21" s="129">
        <f>IFERROR(INDEX('6'!C$300:C$400,MATCH("*"&amp;F21&amp;"*",'6'!B$300:B$400,0)),"  ")</f>
        <v>22</v>
      </c>
      <c r="V21" s="129">
        <f>IFERROR(INDEX('7'!C$300:C$400,MATCH("*"&amp;F21&amp;"*",'7'!B$300:B$400,0)),"  ")</f>
        <v>30</v>
      </c>
      <c r="W21" s="129">
        <f>IFERROR(INDEX('8'!C$300:C$400,MATCH("*"&amp;F21&amp;"*",'8'!B$300:B$400,0)),"  ")</f>
        <v>18</v>
      </c>
      <c r="X21" s="129" t="str">
        <f>IFERROR(INDEX('9'!C$300:C$400,MATCH("*"&amp;F21&amp;"*",'9'!B$300:B$400,0)),"  ")</f>
        <v xml:space="preserve">  </v>
      </c>
      <c r="Y21" s="129">
        <f>IFERROR(INDEX('10'!C$300:C$400,MATCH("*"&amp;F21&amp;"*",'10'!B$300:B$400,0)),"  ")</f>
        <v>4</v>
      </c>
      <c r="Z21" s="128" t="str">
        <f>IFERROR(INDEX('11'!C$300:C$400,MATCH("*"&amp;F21&amp;"*",'11'!B$300:B$400,0)),"  ")</f>
        <v xml:space="preserve">  </v>
      </c>
      <c r="AA21" s="129" t="str">
        <f>IFERROR(INDEX('12'!C$300:C$400,MATCH("*"&amp;F21&amp;"*",'12'!B$300:B$400,0)),"  ")</f>
        <v xml:space="preserve">  </v>
      </c>
      <c r="AB21" s="129" t="str">
        <f>IFERROR(INDEX('13'!C$300:C$400,MATCH("*"&amp;F21&amp;"*",'13'!B$300:B$400,0)),"  ")</f>
        <v xml:space="preserve">  </v>
      </c>
      <c r="AC21" s="130">
        <f t="shared" si="4"/>
        <v>8</v>
      </c>
      <c r="AD21" s="130">
        <f t="shared" si="5"/>
        <v>1</v>
      </c>
      <c r="AE21" s="130">
        <f t="shared" si="6"/>
        <v>0</v>
      </c>
      <c r="AF21" s="1346">
        <f t="shared" si="7"/>
        <v>1.1999999999999999E-3</v>
      </c>
      <c r="AG21" s="1346">
        <f t="shared" si="8"/>
        <v>8.9999999999999998E-4</v>
      </c>
      <c r="AH21" s="1346">
        <f t="shared" si="9"/>
        <v>5.0000000000000001E-4</v>
      </c>
      <c r="AI21" s="1346">
        <f t="shared" si="10"/>
        <v>1.2999999999999999E-3</v>
      </c>
      <c r="AK21" s="113"/>
    </row>
    <row r="22" spans="1:37" x14ac:dyDescent="0.2">
      <c r="A22" s="978" t="str">
        <f>IF(B22="","",COUNTIF(B$8:B$53,"&gt;="&amp;B22))</f>
        <v/>
      </c>
      <c r="B22" s="165" t="str">
        <f t="shared" si="0"/>
        <v/>
      </c>
      <c r="C22" s="1016" t="str">
        <f>IF(D22="","",COUNTIF(D$8:D$53,"&gt;="&amp;D22))</f>
        <v/>
      </c>
      <c r="D22" s="168" t="str">
        <f t="shared" si="1"/>
        <v/>
      </c>
      <c r="E22" s="1314">
        <f>RANK(L22,L$8:L$53,1)</f>
        <v>15</v>
      </c>
      <c r="F22" s="30" t="s">
        <v>107</v>
      </c>
      <c r="G22" s="149"/>
      <c r="H22" s="150"/>
      <c r="I22" s="1379">
        <f>(IF(COUNT(R22,T22,W22,Y22,AB22)&lt;3,SUM(R22,T22,W22,Y22,AB22),SUM(LARGE((R22,T22,W22,Y22,AB22),{1;2;3}))))+(IF(COUNT(Q22,U22,X22,Z22)&lt;3,SUM(Q22,U22,X22,Z22),SUM(LARGE((Q22,U22,X22,Z22),{1;2;3}))))+(IF(COUNT(P22,S22,V22,AA22)&lt;3,SUM(P22,S22,V22,AA22),SUM(LARGE((P22,S22,V22,AA22),{1;2;3}))))</f>
        <v>124</v>
      </c>
      <c r="J22" s="164" t="str">
        <f>INDEX(ETAPP!B$1:B$32,MATCH(COUNTIF(P22:AB22,PIV!A$1),ETAPP!A$1:A$32,0))&amp;INDEX(ETAPP!B$1:B$32,MATCH(COUNTIF(P22:AB22,PIV!A$2),ETAPP!A$1:A$32,0))&amp;INDEX(ETAPP!B$1:B$32,MATCH(COUNTIF(P22:AB22,PIV!A$3),ETAPP!A$1:A$32,0))&amp;INDEX(ETAPP!B$1:B$32,MATCH(COUNTIF(P22:AB22,PIV!A$4),ETAPP!A$1:A$32,0))&amp;INDEX(ETAPP!B$1:B$32,MATCH(COUNTIF(P22:AB22,PIV!A$5),ETAPP!A$1:A$32,0))&amp;INDEX(ETAPP!B$1:B$32,MATCH(COUNTIF(P22:AB22,PIV!A$6),ETAPP!A$1:A$32,0))&amp;INDEX(ETAPP!B$1:B$32,MATCH(COUNTIF(P22:AB22,PIV!A$7),ETAPP!A$1:A$32,0))&amp;INDEX(ETAPP!B$1:B$32,MATCH(COUNTIF(P22:AB22,PIV!A$8),ETAPP!A$1:A$32,0))&amp;INDEX(ETAPP!B$1:B$32,MATCH(COUNTIF(P22:AB22,PIV!A$9),ETAPP!A$1:A$32,0))&amp;INDEX(ETAPP!B$1:B$32,MATCH(COUNTIF(P22:AB22,PIV!A$10),ETAPP!A$1:A$32,0))&amp;INDEX(ETAPP!B$1:B$32,MATCH(COUNTIF(P22:AB22,PIV!A$11),ETAPP!A$1:A$32,0))&amp;INDEX(ETAPP!B$1:B$32,MATCH(COUNTIF(P22:AB22,PIV!A$12),ETAPP!A$1:A$32,0))&amp;INDEX(ETAPP!B$1:B$32,MATCH(COUNTIF(P22:AB22,PIV!A$13),ETAPP!A$1:A$32,0))&amp;INDEX(ETAPP!B$1:B$32,MATCH(COUNTIF(P22:AB22,PIV!A$14),ETAPP!A$1:A$32,0))&amp;INDEX(ETAPP!B$1:B$32,MATCH(COUNTIF(P22:AB22,PIV!A$15),ETAPP!A$1:A$32,0))&amp;INDEX(ETAPP!B$1:B$32,MATCH(COUNTIF(P22:AB22,PIV!A$16),ETAPP!A$1:A$32,0))&amp;INDEX(ETAPP!B$1:B$32,MATCH(COUNTIF(P22:AB22,PIV!A$17),ETAPP!A$1:A$32,0))&amp;INDEX(ETAPP!B$1:B$32,MATCH(COUNTIF(P22:AB22,PIV!A$18),ETAPP!A$1:A$32,0))&amp;INDEX(ETAPP!B$1:B$32,MATCH(COUNTIF(P22:AB22,PIV!A$19),ETAPP!A$1:A$32,0))</f>
        <v>00A0AA00A0B0A00000F</v>
      </c>
      <c r="K22" s="164" t="str">
        <f t="shared" si="2"/>
        <v>124,0-00A0AA00A0B0A00000F</v>
      </c>
      <c r="L22" s="127">
        <f>COUNTIF(K$8:K$53,"&gt;="&amp;K22)</f>
        <v>15</v>
      </c>
      <c r="M22" s="127">
        <f>COUNTIF(F$8:F$53,"&gt;="&amp;F22)</f>
        <v>44</v>
      </c>
      <c r="N22" s="164" t="str">
        <f t="shared" si="3"/>
        <v>124,0-00A0AA00A0B0A00000F-044</v>
      </c>
      <c r="O22" s="844">
        <f>COUNTIF(N$8:N$53,"&lt;="&amp;N22)</f>
        <v>32</v>
      </c>
      <c r="P22" s="128">
        <f>IFERROR(INDEX('1'!C$300:C$400,MATCH("*"&amp;F22&amp;"*",'1'!B$300:B$400,0)),"  ")</f>
        <v>30</v>
      </c>
      <c r="Q22" s="129">
        <f>IFERROR(INDEX('2'!C$300:C$400,MATCH("*"&amp;F22&amp;"*",'2'!B$300:B$400,0)),"  ")</f>
        <v>16</v>
      </c>
      <c r="R22" s="129">
        <f>IFERROR(INDEX('3'!C$300:C$400,MATCH("*"&amp;F22&amp;"*",'3'!B$300:B$400,0)),"  ")</f>
        <v>8</v>
      </c>
      <c r="S22" s="129" t="str">
        <f>IFERROR(INDEX('4'!C$300:C$400,MATCH("*"&amp;F22&amp;"*",'4'!B$300:B$400,0)),"  ")</f>
        <v xml:space="preserve">  </v>
      </c>
      <c r="T22" s="129" t="str">
        <f>IFERROR(INDEX('5'!C$300:C$400,MATCH("*"&amp;F22&amp;"*",'5'!B$300:B$400,0)),"  ")</f>
        <v xml:space="preserve">  </v>
      </c>
      <c r="U22" s="129">
        <f>IFERROR(INDEX('6'!C$300:C$400,MATCH("*"&amp;F22&amp;"*",'6'!B$300:B$400,0)),"  ")</f>
        <v>12</v>
      </c>
      <c r="V22" s="129" t="str">
        <f>IFERROR(INDEX('7'!C$300:C$400,MATCH("*"&amp;F22&amp;"*",'7'!B$300:B$400,0)),"  ")</f>
        <v xml:space="preserve">  </v>
      </c>
      <c r="W22" s="129">
        <f>IFERROR(INDEX('8'!C$300:C$400,MATCH("*"&amp;F22&amp;"*",'8'!B$300:B$400,0)),"  ")</f>
        <v>24</v>
      </c>
      <c r="X22" s="129">
        <f>IFERROR(INDEX('9'!C$300:C$400,MATCH("*"&amp;F22&amp;"*",'9'!B$300:B$400,0)),"  ")</f>
        <v>22</v>
      </c>
      <c r="Y22" s="129">
        <f>IFERROR(INDEX('10'!C$300:C$400,MATCH("*"&amp;F22&amp;"*",'10'!B$300:B$400,0)),"  ")</f>
        <v>12</v>
      </c>
      <c r="Z22" s="128" t="str">
        <f>IFERROR(INDEX('11'!C$300:C$400,MATCH("*"&amp;F22&amp;"*",'11'!B$300:B$400,0)),"  ")</f>
        <v xml:space="preserve">  </v>
      </c>
      <c r="AA22" s="129" t="str">
        <f>IFERROR(INDEX('12'!C$300:C$400,MATCH("*"&amp;F22&amp;"*",'12'!B$300:B$400,0)),"  ")</f>
        <v xml:space="preserve">  </v>
      </c>
      <c r="AB22" s="129" t="str">
        <f>IFERROR(INDEX('13'!C$300:C$400,MATCH("*"&amp;F22&amp;"*",'13'!B$300:B$400,0)),"  ")</f>
        <v xml:space="preserve">  </v>
      </c>
      <c r="AC22" s="130">
        <f t="shared" si="4"/>
        <v>7</v>
      </c>
      <c r="AD22" s="130">
        <f t="shared" si="5"/>
        <v>1</v>
      </c>
      <c r="AE22" s="130">
        <f t="shared" si="6"/>
        <v>0</v>
      </c>
      <c r="AF22" s="1346">
        <f t="shared" si="7"/>
        <v>4.0000000000000002E-4</v>
      </c>
      <c r="AG22" s="1346">
        <f t="shared" si="8"/>
        <v>1.1000000000000001E-3</v>
      </c>
      <c r="AH22" s="1346">
        <f t="shared" si="9"/>
        <v>5.0000000000000001E-4</v>
      </c>
      <c r="AI22" s="1346">
        <f t="shared" si="10"/>
        <v>1.2999999999999999E-3</v>
      </c>
      <c r="AK22" s="113"/>
    </row>
    <row r="23" spans="1:37" x14ac:dyDescent="0.2">
      <c r="A23" s="978" t="str">
        <f>IF(B23="","",COUNTIF(B$8:B$53,"&gt;="&amp;B23))</f>
        <v/>
      </c>
      <c r="B23" s="165" t="str">
        <f t="shared" si="0"/>
        <v/>
      </c>
      <c r="C23" s="1016" t="str">
        <f>IF(D23="","",COUNTIF(D$8:D$53,"&gt;="&amp;D23))</f>
        <v/>
      </c>
      <c r="D23" s="168" t="str">
        <f t="shared" si="1"/>
        <v/>
      </c>
      <c r="E23" s="1314">
        <f>RANK(L23,L$8:L$53,1)</f>
        <v>16</v>
      </c>
      <c r="F23" s="1013" t="s">
        <v>209</v>
      </c>
      <c r="G23" s="149"/>
      <c r="H23" s="150"/>
      <c r="I23" s="1379">
        <f>(IF(COUNT(R23,T23,W23,Y23,AB23)&lt;3,SUM(R23,T23,W23,Y23,AB23),SUM(LARGE((R23,T23,W23,Y23,AB23),{1;2;3}))))+(IF(COUNT(Q23,U23,X23,Z23)&lt;3,SUM(Q23,U23,X23,Z23),SUM(LARGE((Q23,U23,X23,Z23),{1;2;3}))))+(IF(COUNT(P23,S23,V23,AA23)&lt;3,SUM(P23,S23,V23,AA23),SUM(LARGE((P23,S23,V23,AA23),{1;2;3}))))</f>
        <v>115.3</v>
      </c>
      <c r="J23" s="164" t="str">
        <f>INDEX(ETAPP!B$1:B$32,MATCH(COUNTIF(P23:AB23,PIV!A$1),ETAPP!A$1:A$32,0))&amp;INDEX(ETAPP!B$1:B$32,MATCH(COUNTIF(P23:AB23,PIV!A$2),ETAPP!A$1:A$32,0))&amp;INDEX(ETAPP!B$1:B$32,MATCH(COUNTIF(P23:AB23,PIV!A$3),ETAPP!A$1:A$32,0))&amp;INDEX(ETAPP!B$1:B$32,MATCH(COUNTIF(P23:AB23,PIV!A$4),ETAPP!A$1:A$32,0))&amp;INDEX(ETAPP!B$1:B$32,MATCH(COUNTIF(P23:AB23,PIV!A$5),ETAPP!A$1:A$32,0))&amp;INDEX(ETAPP!B$1:B$32,MATCH(COUNTIF(P23:AB23,PIV!A$6),ETAPP!A$1:A$32,0))&amp;INDEX(ETAPP!B$1:B$32,MATCH(COUNTIF(P23:AB23,PIV!A$7),ETAPP!A$1:A$32,0))&amp;INDEX(ETAPP!B$1:B$32,MATCH(COUNTIF(P23:AB23,PIV!A$8),ETAPP!A$1:A$32,0))&amp;INDEX(ETAPP!B$1:B$32,MATCH(COUNTIF(P23:AB23,PIV!A$9),ETAPP!A$1:A$32,0))&amp;INDEX(ETAPP!B$1:B$32,MATCH(COUNTIF(P23:AB23,PIV!A$10),ETAPP!A$1:A$32,0))&amp;INDEX(ETAPP!B$1:B$32,MATCH(COUNTIF(P23:AB23,PIV!A$11),ETAPP!A$1:A$32,0))&amp;INDEX(ETAPP!B$1:B$32,MATCH(COUNTIF(P23:AB23,PIV!A$12),ETAPP!A$1:A$32,0))&amp;INDEX(ETAPP!B$1:B$32,MATCH(COUNTIF(P23:AB23,PIV!A$13),ETAPP!A$1:A$32,0))&amp;INDEX(ETAPP!B$1:B$32,MATCH(COUNTIF(P23:AB23,PIV!A$14),ETAPP!A$1:A$32,0))&amp;INDEX(ETAPP!B$1:B$32,MATCH(COUNTIF(P23:AB23,PIV!A$15),ETAPP!A$1:A$32,0))&amp;INDEX(ETAPP!B$1:B$32,MATCH(COUNTIF(P23:AB23,PIV!A$16),ETAPP!A$1:A$32,0))&amp;INDEX(ETAPP!B$1:B$32,MATCH(COUNTIF(P23:AB23,PIV!A$17),ETAPP!A$1:A$32,0))&amp;INDEX(ETAPP!B$1:B$32,MATCH(COUNTIF(P23:AB23,PIV!A$18),ETAPP!A$1:A$32,0))&amp;INDEX(ETAPP!B$1:B$32,MATCH(COUNTIF(P23:AB23,PIV!A$19),ETAPP!A$1:A$32,0))</f>
        <v>00A0AAA0A0000000A0F</v>
      </c>
      <c r="K23" s="164" t="str">
        <f t="shared" si="2"/>
        <v>115,3-00A0AAA0A0000000A0F</v>
      </c>
      <c r="L23" s="127">
        <f>COUNTIF(K$8:K$53,"&gt;="&amp;K23)</f>
        <v>16</v>
      </c>
      <c r="M23" s="127">
        <f>COUNTIF(F$8:F$53,"&gt;="&amp;F23)</f>
        <v>24</v>
      </c>
      <c r="N23" s="164" t="str">
        <f t="shared" si="3"/>
        <v>115,3-00A0AAA0A0000000A0F-024</v>
      </c>
      <c r="O23" s="844">
        <f>COUNTIF(N$8:N$53,"&lt;="&amp;N23)</f>
        <v>31</v>
      </c>
      <c r="P23" s="128" t="str">
        <f>IFERROR(INDEX('1'!C$300:C$400,MATCH("*"&amp;F23&amp;"*",'1'!B$300:B$400,0)),"  ")</f>
        <v xml:space="preserve">  </v>
      </c>
      <c r="Q23" s="129">
        <f>IFERROR(INDEX('2'!C$300:C$400,MATCH("*"&amp;F23&amp;"*",'2'!B$300:B$400,0)),"  ")</f>
        <v>30</v>
      </c>
      <c r="R23" s="129" t="str">
        <f>IFERROR(INDEX('3'!C$300:C$400,MATCH("*"&amp;F23&amp;"*",'3'!B$300:B$400,0)),"  ")</f>
        <v xml:space="preserve">  </v>
      </c>
      <c r="S23" s="129">
        <f>IFERROR(INDEX('4'!C$300:C$400,MATCH("*"&amp;F23&amp;"*",'4'!B$300:B$400,0)),"  ")</f>
        <v>24</v>
      </c>
      <c r="T23" s="129" t="str">
        <f>IFERROR(INDEX('5'!C$300:C$400,MATCH("*"&amp;F23&amp;"*",'5'!B$300:B$400,0)),"  ")</f>
        <v xml:space="preserve">  </v>
      </c>
      <c r="U23" s="129">
        <f>IFERROR(INDEX('6'!C$300:C$400,MATCH("*"&amp;F23&amp;"*",'6'!B$300:B$400,0)),"  ")</f>
        <v>16</v>
      </c>
      <c r="V23" s="129">
        <f>IFERROR(INDEX('7'!C$300:C$400,MATCH("*"&amp;F23&amp;"*",'7'!B$300:B$400,0)),"  ")</f>
        <v>20</v>
      </c>
      <c r="W23" s="129">
        <f>IFERROR(INDEX('8'!C$300:C$400,MATCH("*"&amp;F23&amp;"*",'8'!B$300:B$400,0)),"  ")</f>
        <v>2.2999999999999998</v>
      </c>
      <c r="X23" s="129" t="str">
        <f>IFERROR(INDEX('9'!C$300:C$400,MATCH("*"&amp;F23&amp;"*",'9'!B$300:B$400,0)),"  ")</f>
        <v xml:space="preserve">  </v>
      </c>
      <c r="Y23" s="129">
        <f>IFERROR(INDEX('10'!C$300:C$400,MATCH("*"&amp;F23&amp;"*",'10'!B$300:B$400,0)),"  ")</f>
        <v>1</v>
      </c>
      <c r="Z23" s="128">
        <f>IFERROR(INDEX('11'!C$300:C$400,MATCH("*"&amp;F23&amp;"*",'11'!B$300:B$400,0)),"  ")</f>
        <v>22</v>
      </c>
      <c r="AA23" s="129" t="str">
        <f>IFERROR(INDEX('12'!C$300:C$400,MATCH("*"&amp;F23&amp;"*",'12'!B$300:B$400,0)),"  ")</f>
        <v xml:space="preserve">  </v>
      </c>
      <c r="AB23" s="129" t="str">
        <f>IFERROR(INDEX('13'!C$300:C$400,MATCH("*"&amp;F23&amp;"*",'13'!B$300:B$400,0)),"  ")</f>
        <v xml:space="preserve">  </v>
      </c>
      <c r="AC23" s="130">
        <f t="shared" si="4"/>
        <v>7</v>
      </c>
      <c r="AD23" s="130">
        <f t="shared" si="5"/>
        <v>1</v>
      </c>
      <c r="AE23" s="130">
        <f t="shared" si="6"/>
        <v>0</v>
      </c>
      <c r="AF23" s="1346">
        <f t="shared" si="7"/>
        <v>1E-4</v>
      </c>
      <c r="AG23" s="1346">
        <f t="shared" si="8"/>
        <v>8.9999999999999998E-4</v>
      </c>
      <c r="AH23" s="1346">
        <f t="shared" si="9"/>
        <v>2.9999999999999997E-4</v>
      </c>
      <c r="AI23" s="1346">
        <f t="shared" si="10"/>
        <v>5.0000000000000001E-4</v>
      </c>
      <c r="AK23" s="113"/>
    </row>
    <row r="24" spans="1:37" x14ac:dyDescent="0.2">
      <c r="A24" s="978" t="str">
        <f>IF(B24="","",COUNTIF(B$8:B$53,"&gt;="&amp;B24))</f>
        <v/>
      </c>
      <c r="B24" s="165" t="str">
        <f t="shared" si="0"/>
        <v/>
      </c>
      <c r="C24" s="1016" t="str">
        <f>IF(D24="","",COUNTIF(D$8:D$53,"&gt;="&amp;D24))</f>
        <v/>
      </c>
      <c r="D24" s="168" t="str">
        <f t="shared" si="1"/>
        <v/>
      </c>
      <c r="E24" s="1314">
        <f>RANK(L24,L$8:L$53,1)</f>
        <v>17</v>
      </c>
      <c r="F24" s="30" t="s">
        <v>115</v>
      </c>
      <c r="G24" s="149"/>
      <c r="H24" s="150"/>
      <c r="I24" s="1379">
        <f>(IF(COUNT(R24,T24,W24,Y24,AB24)&lt;3,SUM(R24,T24,W24,Y24,AB24),SUM(LARGE((R24,T24,W24,Y24,AB24),{1;2;3}))))+(IF(COUNT(Q24,U24,X24,Z24)&lt;3,SUM(Q24,U24,X24,Z24),SUM(LARGE((Q24,U24,X24,Z24),{1;2;3}))))+(IF(COUNT(P24,S24,V24,AA24)&lt;3,SUM(P24,S24,V24,AA24),SUM(LARGE((P24,S24,V24,AA24),{1;2;3}))))</f>
        <v>104</v>
      </c>
      <c r="J24" s="164" t="str">
        <f>INDEX(ETAPP!B$1:B$32,MATCH(COUNTIF(P24:AB24,PIV!A$1),ETAPP!A$1:A$32,0))&amp;INDEX(ETAPP!B$1:B$32,MATCH(COUNTIF(P24:AB24,PIV!A$2),ETAPP!A$1:A$32,0))&amp;INDEX(ETAPP!B$1:B$32,MATCH(COUNTIF(P24:AB24,PIV!A$3),ETAPP!A$1:A$32,0))&amp;INDEX(ETAPP!B$1:B$32,MATCH(COUNTIF(P24:AB24,PIV!A$4),ETAPP!A$1:A$32,0))&amp;INDEX(ETAPP!B$1:B$32,MATCH(COUNTIF(P24:AB24,PIV!A$5),ETAPP!A$1:A$32,0))&amp;INDEX(ETAPP!B$1:B$32,MATCH(COUNTIF(P24:AB24,PIV!A$6),ETAPP!A$1:A$32,0))&amp;INDEX(ETAPP!B$1:B$32,MATCH(COUNTIF(P24:AB24,PIV!A$7),ETAPP!A$1:A$32,0))&amp;INDEX(ETAPP!B$1:B$32,MATCH(COUNTIF(P24:AB24,PIV!A$8),ETAPP!A$1:A$32,0))&amp;INDEX(ETAPP!B$1:B$32,MATCH(COUNTIF(P24:AB24,PIV!A$9),ETAPP!A$1:A$32,0))&amp;INDEX(ETAPP!B$1:B$32,MATCH(COUNTIF(P24:AB24,PIV!A$10),ETAPP!A$1:A$32,0))&amp;INDEX(ETAPP!B$1:B$32,MATCH(COUNTIF(P24:AB24,PIV!A$11),ETAPP!A$1:A$32,0))&amp;INDEX(ETAPP!B$1:B$32,MATCH(COUNTIF(P24:AB24,PIV!A$12),ETAPP!A$1:A$32,0))&amp;INDEX(ETAPP!B$1:B$32,MATCH(COUNTIF(P24:AB24,PIV!A$13),ETAPP!A$1:A$32,0))&amp;INDEX(ETAPP!B$1:B$32,MATCH(COUNTIF(P24:AB24,PIV!A$14),ETAPP!A$1:A$32,0))&amp;INDEX(ETAPP!B$1:B$32,MATCH(COUNTIF(P24:AB24,PIV!A$15),ETAPP!A$1:A$32,0))&amp;INDEX(ETAPP!B$1:B$32,MATCH(COUNTIF(P24:AB24,PIV!A$16),ETAPP!A$1:A$32,0))&amp;INDEX(ETAPP!B$1:B$32,MATCH(COUNTIF(P24:AB24,PIV!A$17),ETAPP!A$1:A$32,0))&amp;INDEX(ETAPP!B$1:B$32,MATCH(COUNTIF(P24:AB24,PIV!A$18),ETAPP!A$1:A$32,0))&amp;INDEX(ETAPP!B$1:B$32,MATCH(COUNTIF(P24:AB24,PIV!A$19),ETAPP!A$1:A$32,0))</f>
        <v>000B000BA000000000C</v>
      </c>
      <c r="K24" s="164" t="str">
        <f t="shared" si="2"/>
        <v>104,0-000B000BA000000000C</v>
      </c>
      <c r="L24" s="127">
        <f>COUNTIF(K$8:K$53,"&gt;="&amp;K24)</f>
        <v>17</v>
      </c>
      <c r="M24" s="127">
        <f>COUNTIF(F$8:F$53,"&gt;="&amp;F24)</f>
        <v>25</v>
      </c>
      <c r="N24" s="164" t="str">
        <f t="shared" si="3"/>
        <v>104,0-000B000BA000000000C-025</v>
      </c>
      <c r="O24" s="844">
        <f>COUNTIF(N$8:N$53,"&lt;="&amp;N24)</f>
        <v>30</v>
      </c>
      <c r="P24" s="128" t="str">
        <f>IFERROR(INDEX('1'!C$300:C$400,MATCH("*"&amp;F24&amp;"*",'1'!B$300:B$400,0)),"  ")</f>
        <v xml:space="preserve">  </v>
      </c>
      <c r="Q24" s="129" t="str">
        <f>IFERROR(INDEX('2'!C$300:C$400,MATCH("*"&amp;F24&amp;"*",'2'!B$300:B$400,0)),"  ")</f>
        <v xml:space="preserve">  </v>
      </c>
      <c r="R24" s="129" t="str">
        <f>IFERROR(INDEX('3'!C$300:C$400,MATCH("*"&amp;F24&amp;"*",'3'!B$300:B$400,0)),"  ")</f>
        <v xml:space="preserve">  </v>
      </c>
      <c r="S24" s="129">
        <f>IFERROR(INDEX('4'!C$300:C$400,MATCH("*"&amp;F24&amp;"*",'4'!B$300:B$400,0)),"  ")</f>
        <v>26</v>
      </c>
      <c r="T24" s="129" t="str">
        <f>IFERROR(INDEX('5'!C$300:C$400,MATCH("*"&amp;F24&amp;"*",'5'!B$300:B$400,0)),"  ")</f>
        <v xml:space="preserve">  </v>
      </c>
      <c r="U24" s="129">
        <f>IFERROR(INDEX('6'!C$300:C$400,MATCH("*"&amp;F24&amp;"*",'6'!B$300:B$400,0)),"  ")</f>
        <v>18</v>
      </c>
      <c r="V24" s="129">
        <f>IFERROR(INDEX('7'!C$300:C$400,MATCH("*"&amp;F24&amp;"*",'7'!B$300:B$400,0)),"  ")</f>
        <v>18</v>
      </c>
      <c r="W24" s="129" t="str">
        <f>IFERROR(INDEX('8'!C$300:C$400,MATCH("*"&amp;F24&amp;"*",'8'!B$300:B$400,0)),"  ")</f>
        <v xml:space="preserve">  </v>
      </c>
      <c r="X24" s="129" t="str">
        <f>IFERROR(INDEX('9'!C$300:C$400,MATCH("*"&amp;F24&amp;"*",'9'!B$300:B$400,0)),"  ")</f>
        <v xml:space="preserve">  </v>
      </c>
      <c r="Y24" s="129">
        <f>IFERROR(INDEX('10'!C$300:C$400,MATCH("*"&amp;F24&amp;"*",'10'!B$300:B$400,0)),"  ")</f>
        <v>26</v>
      </c>
      <c r="Z24" s="128">
        <f>IFERROR(INDEX('11'!C$300:C$400,MATCH("*"&amp;F24&amp;"*",'11'!B$300:B$400,0)),"  ")</f>
        <v>16</v>
      </c>
      <c r="AA24" s="129" t="str">
        <f>IFERROR(INDEX('12'!C$300:C$400,MATCH("*"&amp;F24&amp;"*",'12'!B$300:B$400,0)),"  ")</f>
        <v xml:space="preserve">  </v>
      </c>
      <c r="AB24" s="129" t="str">
        <f>IFERROR(INDEX('13'!C$300:C$400,MATCH("*"&amp;F24&amp;"*",'13'!B$300:B$400,0)),"  ")</f>
        <v xml:space="preserve">  </v>
      </c>
      <c r="AC24" s="130">
        <f t="shared" si="4"/>
        <v>5</v>
      </c>
      <c r="AD24" s="130">
        <f t="shared" si="5"/>
        <v>0</v>
      </c>
      <c r="AE24" s="130">
        <f t="shared" si="6"/>
        <v>0</v>
      </c>
      <c r="AF24" s="1346">
        <f t="shared" si="7"/>
        <v>1E-4</v>
      </c>
      <c r="AG24" s="1346">
        <f t="shared" si="8"/>
        <v>2.0000000000000001E-4</v>
      </c>
      <c r="AH24" s="1346">
        <f t="shared" si="9"/>
        <v>2.9999999999999997E-4</v>
      </c>
      <c r="AI24" s="1346">
        <f t="shared" si="10"/>
        <v>5.0000000000000001E-4</v>
      </c>
      <c r="AK24" s="113"/>
    </row>
    <row r="25" spans="1:37" x14ac:dyDescent="0.2">
      <c r="A25" s="978" t="str">
        <f>IF(B25="","",COUNTIF(B$8:B$53,"&gt;="&amp;B25))</f>
        <v/>
      </c>
      <c r="B25" s="165" t="str">
        <f t="shared" si="0"/>
        <v/>
      </c>
      <c r="C25" s="1016">
        <f>IF(D25="","",COUNTIF(D$8:D$53,"&gt;="&amp;D25))</f>
        <v>2</v>
      </c>
      <c r="D25" s="168" t="str">
        <f t="shared" si="1"/>
        <v>100,3-AA00A0000000000000D</v>
      </c>
      <c r="E25" s="1314">
        <f>RANK(L25,L$8:L$53,1)</f>
        <v>18</v>
      </c>
      <c r="F25" s="183" t="s">
        <v>206</v>
      </c>
      <c r="G25" s="152"/>
      <c r="H25" s="166" t="s">
        <v>138</v>
      </c>
      <c r="I25" s="1379">
        <f>(IF(COUNT(R25,T25,W25,Y25,AB25)&lt;3,SUM(R25,T25,W25,Y25,AB25),SUM(LARGE((R25,T25,W25,Y25,AB25),{1;2;3}))))+(IF(COUNT(Q25,U25,X25,Z25)&lt;3,SUM(Q25,U25,X25,Z25),SUM(LARGE((Q25,U25,X25,Z25),{1;2;3}))))+(IF(COUNT(P25,S25,V25,AA25)&lt;3,SUM(P25,S25,V25,AA25),SUM(LARGE((P25,S25,V25,AA25),{1;2;3}))))</f>
        <v>100.3</v>
      </c>
      <c r="J25" s="164" t="str">
        <f>INDEX(ETAPP!B$1:B$32,MATCH(COUNTIF(P25:AB25,PIV!A$1),ETAPP!A$1:A$32,0))&amp;INDEX(ETAPP!B$1:B$32,MATCH(COUNTIF(P25:AB25,PIV!A$2),ETAPP!A$1:A$32,0))&amp;INDEX(ETAPP!B$1:B$32,MATCH(COUNTIF(P25:AB25,PIV!A$3),ETAPP!A$1:A$32,0))&amp;INDEX(ETAPP!B$1:B$32,MATCH(COUNTIF(P25:AB25,PIV!A$4),ETAPP!A$1:A$32,0))&amp;INDEX(ETAPP!B$1:B$32,MATCH(COUNTIF(P25:AB25,PIV!A$5),ETAPP!A$1:A$32,0))&amp;INDEX(ETAPP!B$1:B$32,MATCH(COUNTIF(P25:AB25,PIV!A$6),ETAPP!A$1:A$32,0))&amp;INDEX(ETAPP!B$1:B$32,MATCH(COUNTIF(P25:AB25,PIV!A$7),ETAPP!A$1:A$32,0))&amp;INDEX(ETAPP!B$1:B$32,MATCH(COUNTIF(P25:AB25,PIV!A$8),ETAPP!A$1:A$32,0))&amp;INDEX(ETAPP!B$1:B$32,MATCH(COUNTIF(P25:AB25,PIV!A$9),ETAPP!A$1:A$32,0))&amp;INDEX(ETAPP!B$1:B$32,MATCH(COUNTIF(P25:AB25,PIV!A$10),ETAPP!A$1:A$32,0))&amp;INDEX(ETAPP!B$1:B$32,MATCH(COUNTIF(P25:AB25,PIV!A$11),ETAPP!A$1:A$32,0))&amp;INDEX(ETAPP!B$1:B$32,MATCH(COUNTIF(P25:AB25,PIV!A$12),ETAPP!A$1:A$32,0))&amp;INDEX(ETAPP!B$1:B$32,MATCH(COUNTIF(P25:AB25,PIV!A$13),ETAPP!A$1:A$32,0))&amp;INDEX(ETAPP!B$1:B$32,MATCH(COUNTIF(P25:AB25,PIV!A$14),ETAPP!A$1:A$32,0))&amp;INDEX(ETAPP!B$1:B$32,MATCH(COUNTIF(P25:AB25,PIV!A$15),ETAPP!A$1:A$32,0))&amp;INDEX(ETAPP!B$1:B$32,MATCH(COUNTIF(P25:AB25,PIV!A$16),ETAPP!A$1:A$32,0))&amp;INDEX(ETAPP!B$1:B$32,MATCH(COUNTIF(P25:AB25,PIV!A$17),ETAPP!A$1:A$32,0))&amp;INDEX(ETAPP!B$1:B$32,MATCH(COUNTIF(P25:AB25,PIV!A$18),ETAPP!A$1:A$32,0))&amp;INDEX(ETAPP!B$1:B$32,MATCH(COUNTIF(P25:AB25,PIV!A$19),ETAPP!A$1:A$32,0))</f>
        <v>AA00A0000000000000D</v>
      </c>
      <c r="K25" s="164" t="str">
        <f t="shared" si="2"/>
        <v>100,3-AA00A0000000000000D</v>
      </c>
      <c r="L25" s="127">
        <f>COUNTIF(K$8:K$53,"&gt;="&amp;K25)</f>
        <v>18</v>
      </c>
      <c r="M25" s="127">
        <f>COUNTIF(F$8:F$53,"&gt;="&amp;F25)</f>
        <v>13</v>
      </c>
      <c r="N25" s="164" t="str">
        <f t="shared" si="3"/>
        <v>100,3-AA00A0000000000000D-013</v>
      </c>
      <c r="O25" s="844">
        <f>COUNTIF(N$8:N$53,"&lt;="&amp;N25)</f>
        <v>29</v>
      </c>
      <c r="P25" s="128" t="str">
        <f>IFERROR(INDEX('1'!C$300:C$400,MATCH("*"&amp;F25&amp;"*",'1'!B$300:B$400,0)),"  ")</f>
        <v xml:space="preserve">  </v>
      </c>
      <c r="Q25" s="129" t="str">
        <f>IFERROR(INDEX('2'!C$300:C$400,MATCH("*"&amp;F25&amp;"*",'2'!B$300:B$400,0)),"  ")</f>
        <v xml:space="preserve">  </v>
      </c>
      <c r="R25" s="129" t="str">
        <f>IFERROR(INDEX('3'!C$300:C$400,MATCH("*"&amp;F25&amp;"*",'3'!B$300:B$400,0)),"  ")</f>
        <v xml:space="preserve">  </v>
      </c>
      <c r="S25" s="129">
        <f>IFERROR(INDEX('4'!C$300:C$400,MATCH("*"&amp;F25&amp;"*",'4'!B$300:B$400,0)),"  ")</f>
        <v>40</v>
      </c>
      <c r="T25" s="129" t="str">
        <f>IFERROR(INDEX('5'!C$300:C$400,MATCH("*"&amp;F25&amp;"*",'5'!B$300:B$400,0)),"  ")</f>
        <v xml:space="preserve">  </v>
      </c>
      <c r="U25" s="129" t="str">
        <f>IFERROR(INDEX('6'!C$300:C$400,MATCH("*"&amp;F25&amp;"*",'6'!B$300:B$400,0)),"  ")</f>
        <v xml:space="preserve">  </v>
      </c>
      <c r="V25" s="129">
        <f>IFERROR(INDEX('7'!C$300:C$400,MATCH("*"&amp;F25&amp;"*",'7'!B$300:B$400,0)),"  ")</f>
        <v>24</v>
      </c>
      <c r="W25" s="129">
        <f>IFERROR(INDEX('8'!C$300:C$400,MATCH("*"&amp;F25&amp;"*",'8'!B$300:B$400,0)),"  ")</f>
        <v>2.2999999999999998</v>
      </c>
      <c r="X25" s="129" t="str">
        <f>IFERROR(INDEX('9'!C$300:C$400,MATCH("*"&amp;F25&amp;"*",'9'!B$300:B$400,0)),"  ")</f>
        <v xml:space="preserve">  </v>
      </c>
      <c r="Y25" s="129" t="str">
        <f>IFERROR(INDEX('10'!C$300:C$400,MATCH("*"&amp;F25&amp;"*",'10'!B$300:B$400,0)),"  ")</f>
        <v xml:space="preserve">  </v>
      </c>
      <c r="Z25" s="128" t="str">
        <f>IFERROR(INDEX('11'!C$300:C$400,MATCH("*"&amp;F25&amp;"*",'11'!B$300:B$400,0)),"  ")</f>
        <v xml:space="preserve">  </v>
      </c>
      <c r="AA25" s="129">
        <f>IFERROR(INDEX('12'!C$300:C$400,MATCH("*"&amp;F25&amp;"*",'12'!B$300:B$400,0)),"  ")</f>
        <v>34</v>
      </c>
      <c r="AB25" s="129" t="str">
        <f>IFERROR(INDEX('13'!C$300:C$400,MATCH("*"&amp;F25&amp;"*",'13'!B$300:B$400,0)),"  ")</f>
        <v xml:space="preserve">  </v>
      </c>
      <c r="AC25" s="130">
        <f t="shared" si="4"/>
        <v>4</v>
      </c>
      <c r="AD25" s="130">
        <f t="shared" si="5"/>
        <v>2</v>
      </c>
      <c r="AE25" s="130">
        <f t="shared" si="6"/>
        <v>1</v>
      </c>
      <c r="AF25" s="1346">
        <f t="shared" si="7"/>
        <v>1E-4</v>
      </c>
      <c r="AG25" s="1346">
        <f t="shared" si="8"/>
        <v>2.0000000000000001E-4</v>
      </c>
      <c r="AH25" s="1346">
        <f t="shared" si="9"/>
        <v>2.9999999999999997E-4</v>
      </c>
      <c r="AI25" s="1346">
        <f t="shared" si="10"/>
        <v>5.0000000000000001E-4</v>
      </c>
    </row>
    <row r="26" spans="1:37" ht="12.75" customHeight="1" x14ac:dyDescent="0.2">
      <c r="A26" s="1018">
        <f>IF(B26="","",COUNTIF(B$8:B$53,"&gt;="&amp;B26))</f>
        <v>1</v>
      </c>
      <c r="B26" s="165" t="str">
        <f t="shared" si="0"/>
        <v>094,0-00000AA00C0A000000G</v>
      </c>
      <c r="C26" s="1016" t="str">
        <f>IF(D26="","",COUNTIF(D$8:D$53,"&gt;="&amp;D26))</f>
        <v/>
      </c>
      <c r="D26" s="168" t="str">
        <f t="shared" si="1"/>
        <v/>
      </c>
      <c r="E26" s="1314">
        <f>RANK(L26,L$8:L$53,1)</f>
        <v>19</v>
      </c>
      <c r="F26" s="180" t="s">
        <v>126</v>
      </c>
      <c r="G26" s="149" t="s">
        <v>137</v>
      </c>
      <c r="H26" s="150"/>
      <c r="I26" s="1379">
        <f>(IF(COUNT(R26,T26,W26,Y26,AB26)&lt;3,SUM(R26,T26,W26,Y26,AB26),SUM(LARGE((R26,T26,W26,Y26,AB26),{1;2;3}))))+(IF(COUNT(Q26,U26,X26,Z26)&lt;3,SUM(Q26,U26,X26,Z26),SUM(LARGE((Q26,U26,X26,Z26),{1;2;3}))))+(IF(COUNT(P26,S26,V26,AA26)&lt;3,SUM(P26,S26,V26,AA26),SUM(LARGE((P26,S26,V26,AA26),{1;2;3}))))</f>
        <v>94</v>
      </c>
      <c r="J26" s="164" t="str">
        <f>INDEX(ETAPP!B$1:B$32,MATCH(COUNTIF(P26:AB26,PIV!A$1),ETAPP!A$1:A$32,0))&amp;INDEX(ETAPP!B$1:B$32,MATCH(COUNTIF(P26:AB26,PIV!A$2),ETAPP!A$1:A$32,0))&amp;INDEX(ETAPP!B$1:B$32,MATCH(COUNTIF(P26:AB26,PIV!A$3),ETAPP!A$1:A$32,0))&amp;INDEX(ETAPP!B$1:B$32,MATCH(COUNTIF(P26:AB26,PIV!A$4),ETAPP!A$1:A$32,0))&amp;INDEX(ETAPP!B$1:B$32,MATCH(COUNTIF(P26:AB26,PIV!A$5),ETAPP!A$1:A$32,0))&amp;INDEX(ETAPP!B$1:B$32,MATCH(COUNTIF(P26:AB26,PIV!A$6),ETAPP!A$1:A$32,0))&amp;INDEX(ETAPP!B$1:B$32,MATCH(COUNTIF(P26:AB26,PIV!A$7),ETAPP!A$1:A$32,0))&amp;INDEX(ETAPP!B$1:B$32,MATCH(COUNTIF(P26:AB26,PIV!A$8),ETAPP!A$1:A$32,0))&amp;INDEX(ETAPP!B$1:B$32,MATCH(COUNTIF(P26:AB26,PIV!A$9),ETAPP!A$1:A$32,0))&amp;INDEX(ETAPP!B$1:B$32,MATCH(COUNTIF(P26:AB26,PIV!A$10),ETAPP!A$1:A$32,0))&amp;INDEX(ETAPP!B$1:B$32,MATCH(COUNTIF(P26:AB26,PIV!A$11),ETAPP!A$1:A$32,0))&amp;INDEX(ETAPP!B$1:B$32,MATCH(COUNTIF(P26:AB26,PIV!A$12),ETAPP!A$1:A$32,0))&amp;INDEX(ETAPP!B$1:B$32,MATCH(COUNTIF(P26:AB26,PIV!A$13),ETAPP!A$1:A$32,0))&amp;INDEX(ETAPP!B$1:B$32,MATCH(COUNTIF(P26:AB26,PIV!A$14),ETAPP!A$1:A$32,0))&amp;INDEX(ETAPP!B$1:B$32,MATCH(COUNTIF(P26:AB26,PIV!A$15),ETAPP!A$1:A$32,0))&amp;INDEX(ETAPP!B$1:B$32,MATCH(COUNTIF(P26:AB26,PIV!A$16),ETAPP!A$1:A$32,0))&amp;INDEX(ETAPP!B$1:B$32,MATCH(COUNTIF(P26:AB26,PIV!A$17),ETAPP!A$1:A$32,0))&amp;INDEX(ETAPP!B$1:B$32,MATCH(COUNTIF(P26:AB26,PIV!A$18),ETAPP!A$1:A$32,0))&amp;INDEX(ETAPP!B$1:B$32,MATCH(COUNTIF(P26:AB26,PIV!A$19),ETAPP!A$1:A$32,0))</f>
        <v>00000AA00C0A000000G</v>
      </c>
      <c r="K26" s="164" t="str">
        <f t="shared" si="2"/>
        <v>094,0-00000AA00C0A000000G</v>
      </c>
      <c r="L26" s="127">
        <f>COUNTIF(K$8:K$53,"&gt;="&amp;K26)</f>
        <v>19</v>
      </c>
      <c r="M26" s="127">
        <f>COUNTIF(F$8:F$53,"&gt;="&amp;F26)</f>
        <v>17</v>
      </c>
      <c r="N26" s="164" t="str">
        <f t="shared" si="3"/>
        <v>094,0-00000AA00C0A000000G-017</v>
      </c>
      <c r="O26" s="844">
        <f>COUNTIF(N$8:N$53,"&lt;="&amp;N26)</f>
        <v>28</v>
      </c>
      <c r="P26" s="128" t="str">
        <f>IFERROR(INDEX('1'!C$300:C$400,MATCH("*"&amp;F26&amp;"*",'1'!B$300:B$400,0)),"  ")</f>
        <v xml:space="preserve">  </v>
      </c>
      <c r="Q26" s="129" t="str">
        <f>IFERROR(INDEX('2'!C$300:C$400,MATCH("*"&amp;F26&amp;"*",'2'!B$300:B$400,0)),"  ")</f>
        <v xml:space="preserve">  </v>
      </c>
      <c r="R26" s="129" t="str">
        <f>IFERROR(INDEX('3'!C$300:C$400,MATCH("*"&amp;F26&amp;"*",'3'!B$300:B$400,0)),"  ")</f>
        <v xml:space="preserve">  </v>
      </c>
      <c r="S26" s="129">
        <f>IFERROR(INDEX('4'!C$300:C$400,MATCH("*"&amp;F26&amp;"*",'4'!B$300:B$400,0)),"  ")</f>
        <v>14</v>
      </c>
      <c r="T26" s="129" t="str">
        <f>IFERROR(INDEX('5'!C$300:C$400,MATCH("*"&amp;F26&amp;"*",'5'!B$300:B$400,0)),"  ")</f>
        <v xml:space="preserve">  </v>
      </c>
      <c r="U26" s="129">
        <f>IFERROR(INDEX('6'!C$300:C$400,MATCH("*"&amp;F26&amp;"*",'6'!B$300:B$400,0)),"  ")</f>
        <v>14</v>
      </c>
      <c r="V26" s="129">
        <f>IFERROR(INDEX('7'!C$300:C$400,MATCH("*"&amp;F26&amp;"*",'7'!B$300:B$400,0)),"  ")</f>
        <v>22</v>
      </c>
      <c r="W26" s="129">
        <f>IFERROR(INDEX('8'!C$300:C$400,MATCH("*"&amp;F26&amp;"*",'8'!B$300:B$400,0)),"  ")</f>
        <v>10</v>
      </c>
      <c r="X26" s="129">
        <f>IFERROR(INDEX('9'!C$300:C$400,MATCH("*"&amp;F26&amp;"*",'9'!B$300:B$400,0)),"  ")</f>
        <v>20</v>
      </c>
      <c r="Y26" s="129">
        <f>IFERROR(INDEX('10'!C$300:C$400,MATCH("*"&amp;F26&amp;"*",'10'!B$300:B$400,0)),"  ")</f>
        <v>14</v>
      </c>
      <c r="Z26" s="128" t="str">
        <f>IFERROR(INDEX('11'!C$300:C$400,MATCH("*"&amp;F26&amp;"*",'11'!B$300:B$400,0)),"  ")</f>
        <v xml:space="preserve">  </v>
      </c>
      <c r="AA26" s="129" t="str">
        <f>IFERROR(INDEX('12'!C$300:C$400,MATCH("*"&amp;F26&amp;"*",'12'!B$300:B$400,0)),"  ")</f>
        <v xml:space="preserve">  </v>
      </c>
      <c r="AB26" s="129" t="str">
        <f>IFERROR(INDEX('13'!C$300:C$400,MATCH("*"&amp;F26&amp;"*",'13'!B$300:B$400,0)),"  ")</f>
        <v xml:space="preserve">  </v>
      </c>
      <c r="AC26" s="130">
        <f t="shared" si="4"/>
        <v>6</v>
      </c>
      <c r="AD26" s="130">
        <f t="shared" si="5"/>
        <v>0</v>
      </c>
      <c r="AE26" s="130">
        <f t="shared" si="6"/>
        <v>0</v>
      </c>
      <c r="AF26" s="1346">
        <f t="shared" si="7"/>
        <v>1E-4</v>
      </c>
      <c r="AG26" s="1346">
        <f t="shared" si="8"/>
        <v>2.0000000000000001E-4</v>
      </c>
      <c r="AH26" s="1346">
        <f t="shared" si="9"/>
        <v>2.9999999999999997E-4</v>
      </c>
      <c r="AI26" s="1346">
        <f t="shared" si="10"/>
        <v>5.0000000000000001E-4</v>
      </c>
    </row>
    <row r="27" spans="1:37" ht="12.75" customHeight="1" x14ac:dyDescent="0.2">
      <c r="A27" s="978" t="str">
        <f>IF(B27="","",COUNTIF(B$8:B$53,"&gt;="&amp;B27))</f>
        <v/>
      </c>
      <c r="B27" s="165" t="str">
        <f t="shared" si="0"/>
        <v/>
      </c>
      <c r="C27" s="1016" t="str">
        <f>IF(D27="","",COUNTIF(D$8:D$53,"&gt;="&amp;D27))</f>
        <v/>
      </c>
      <c r="D27" s="168" t="str">
        <f t="shared" si="1"/>
        <v/>
      </c>
      <c r="E27" s="1314">
        <f>RANK(L27,L$8:L$53,1)</f>
        <v>20</v>
      </c>
      <c r="F27" s="30" t="s">
        <v>116</v>
      </c>
      <c r="G27" s="149"/>
      <c r="H27" s="150"/>
      <c r="I27" s="1379">
        <f>(IF(COUNT(R27,T27,W27,Y27,AB27)&lt;3,SUM(R27,T27,W27,Y27,AB27),SUM(LARGE((R27,T27,W27,Y27,AB27),{1;2;3}))))+(IF(COUNT(Q27,U27,X27,Z27)&lt;3,SUM(Q27,U27,X27,Z27),SUM(LARGE((Q27,U27,X27,Z27),{1;2;3}))))+(IF(COUNT(P27,S27,V27,AA27)&lt;3,SUM(P27,S27,V27,AA27),SUM(LARGE((P27,S27,V27,AA27),{1;2;3}))))</f>
        <v>93</v>
      </c>
      <c r="J27" s="164" t="str">
        <f>INDEX(ETAPP!B$1:B$32,MATCH(COUNTIF(P27:AB27,PIV!A$1),ETAPP!A$1:A$32,0))&amp;INDEX(ETAPP!B$1:B$32,MATCH(COUNTIF(P27:AB27,PIV!A$2),ETAPP!A$1:A$32,0))&amp;INDEX(ETAPP!B$1:B$32,MATCH(COUNTIF(P27:AB27,PIV!A$3),ETAPP!A$1:A$32,0))&amp;INDEX(ETAPP!B$1:B$32,MATCH(COUNTIF(P27:AB27,PIV!A$4),ETAPP!A$1:A$32,0))&amp;INDEX(ETAPP!B$1:B$32,MATCH(COUNTIF(P27:AB27,PIV!A$5),ETAPP!A$1:A$32,0))&amp;INDEX(ETAPP!B$1:B$32,MATCH(COUNTIF(P27:AB27,PIV!A$6),ETAPP!A$1:A$32,0))&amp;INDEX(ETAPP!B$1:B$32,MATCH(COUNTIF(P27:AB27,PIV!A$7),ETAPP!A$1:A$32,0))&amp;INDEX(ETAPP!B$1:B$32,MATCH(COUNTIF(P27:AB27,PIV!A$8),ETAPP!A$1:A$32,0))&amp;INDEX(ETAPP!B$1:B$32,MATCH(COUNTIF(P27:AB27,PIV!A$9),ETAPP!A$1:A$32,0))&amp;INDEX(ETAPP!B$1:B$32,MATCH(COUNTIF(P27:AB27,PIV!A$10),ETAPP!A$1:A$32,0))&amp;INDEX(ETAPP!B$1:B$32,MATCH(COUNTIF(P27:AB27,PIV!A$11),ETAPP!A$1:A$32,0))&amp;INDEX(ETAPP!B$1:B$32,MATCH(COUNTIF(P27:AB27,PIV!A$12),ETAPP!A$1:A$32,0))&amp;INDEX(ETAPP!B$1:B$32,MATCH(COUNTIF(P27:AB27,PIV!A$13),ETAPP!A$1:A$32,0))&amp;INDEX(ETAPP!B$1:B$32,MATCH(COUNTIF(P27:AB27,PIV!A$14),ETAPP!A$1:A$32,0))&amp;INDEX(ETAPP!B$1:B$32,MATCH(COUNTIF(P27:AB27,PIV!A$15),ETAPP!A$1:A$32,0))&amp;INDEX(ETAPP!B$1:B$32,MATCH(COUNTIF(P27:AB27,PIV!A$16),ETAPP!A$1:A$32,0))&amp;INDEX(ETAPP!B$1:B$32,MATCH(COUNTIF(P27:AB27,PIV!A$17),ETAPP!A$1:A$32,0))&amp;INDEX(ETAPP!B$1:B$32,MATCH(COUNTIF(P27:AB27,PIV!A$18),ETAPP!A$1:A$32,0))&amp;INDEX(ETAPP!B$1:B$32,MATCH(COUNTIF(P27:AB27,PIV!A$19),ETAPP!A$1:A$32,0))</f>
        <v>00A00B0000A00A00A0G</v>
      </c>
      <c r="K27" s="164" t="str">
        <f t="shared" si="2"/>
        <v>093,0-00A00B0000A00A00A0G</v>
      </c>
      <c r="L27" s="127">
        <f>COUNTIF(K$8:K$53,"&gt;="&amp;K27)</f>
        <v>20</v>
      </c>
      <c r="M27" s="127">
        <f>COUNTIF(F$8:F$53,"&gt;="&amp;F27)</f>
        <v>34</v>
      </c>
      <c r="N27" s="164" t="str">
        <f t="shared" si="3"/>
        <v>093,0-00A00B0000A00A00A0G-034</v>
      </c>
      <c r="O27" s="844">
        <f>COUNTIF(N$8:N$53,"&lt;="&amp;N27)</f>
        <v>27</v>
      </c>
      <c r="P27" s="128">
        <f>IFERROR(INDEX('1'!C$300:C$400,MATCH("*"&amp;F27&amp;"*",'1'!B$300:B$400,0)),"  ")</f>
        <v>30</v>
      </c>
      <c r="Q27" s="129">
        <f>IFERROR(INDEX('2'!C$300:C$400,MATCH("*"&amp;F27&amp;"*",'2'!B$300:B$400,0)),"  ")</f>
        <v>22</v>
      </c>
      <c r="R27" s="129">
        <f>IFERROR(INDEX('3'!C$300:C$400,MATCH("*"&amp;F27&amp;"*",'3'!B$300:B$400,0)),"  ")</f>
        <v>6</v>
      </c>
      <c r="S27" s="129" t="str">
        <f>IFERROR(INDEX('4'!C$300:C$400,MATCH("*"&amp;F27&amp;"*",'4'!B$300:B$400,0)),"  ")</f>
        <v xml:space="preserve">  </v>
      </c>
      <c r="T27" s="129" t="str">
        <f>IFERROR(INDEX('5'!C$300:C$400,MATCH("*"&amp;F27&amp;"*",'5'!B$300:B$400,0)),"  ")</f>
        <v xml:space="preserve">  </v>
      </c>
      <c r="U27" s="129">
        <f>IFERROR(INDEX('6'!C$300:C$400,MATCH("*"&amp;F27&amp;"*",'6'!B$300:B$400,0)),"  ")</f>
        <v>12</v>
      </c>
      <c r="V27" s="129" t="str">
        <f>IFERROR(INDEX('7'!C$300:C$400,MATCH("*"&amp;F27&amp;"*",'7'!B$300:B$400,0)),"  ")</f>
        <v xml:space="preserve">  </v>
      </c>
      <c r="W27" s="129" t="str">
        <f>IFERROR(INDEX('8'!C$300:C$400,MATCH("*"&amp;F27&amp;"*",'8'!B$300:B$400,0)),"  ")</f>
        <v xml:space="preserve">  </v>
      </c>
      <c r="X27" s="129" t="str">
        <f>IFERROR(INDEX('9'!C$300:C$400,MATCH("*"&amp;F27&amp;"*",'9'!B$300:B$400,0)),"  ")</f>
        <v xml:space="preserve">  </v>
      </c>
      <c r="Y27" s="129">
        <f>IFERROR(INDEX('10'!C$300:C$400,MATCH("*"&amp;F27&amp;"*",'10'!B$300:B$400,0)),"  ")</f>
        <v>1</v>
      </c>
      <c r="Z27" s="128" t="str">
        <f>IFERROR(INDEX('11'!C$300:C$400,MATCH("*"&amp;F27&amp;"*",'11'!B$300:B$400,0)),"  ")</f>
        <v xml:space="preserve">  </v>
      </c>
      <c r="AA27" s="129">
        <f>IFERROR(INDEX('12'!C$300:C$400,MATCH("*"&amp;F27&amp;"*",'12'!B$300:B$400,0)),"  ")</f>
        <v>22</v>
      </c>
      <c r="AB27" s="129" t="str">
        <f>IFERROR(INDEX('13'!C$300:C$400,MATCH("*"&amp;F27&amp;"*",'13'!B$300:B$400,0)),"  ")</f>
        <v xml:space="preserve">  </v>
      </c>
      <c r="AC27" s="130">
        <f t="shared" si="4"/>
        <v>6</v>
      </c>
      <c r="AD27" s="130">
        <f t="shared" si="5"/>
        <v>1</v>
      </c>
      <c r="AE27" s="130">
        <f t="shared" si="6"/>
        <v>0</v>
      </c>
      <c r="AF27" s="1346">
        <f t="shared" si="7"/>
        <v>4.0000000000000002E-4</v>
      </c>
      <c r="AG27" s="1346">
        <f t="shared" si="8"/>
        <v>8.9999999999999998E-4</v>
      </c>
      <c r="AH27" s="1346">
        <f t="shared" si="9"/>
        <v>5.0000000000000001E-4</v>
      </c>
      <c r="AI27" s="1346">
        <f t="shared" si="10"/>
        <v>8.0000000000000004E-4</v>
      </c>
    </row>
    <row r="28" spans="1:37" ht="12.75" customHeight="1" x14ac:dyDescent="0.2">
      <c r="A28" s="978" t="str">
        <f>IF(B28="","",COUNTIF(B$8:B$53,"&gt;="&amp;B28))</f>
        <v/>
      </c>
      <c r="B28" s="165" t="str">
        <f t="shared" si="0"/>
        <v/>
      </c>
      <c r="C28" s="1016" t="str">
        <f>IF(D28="","",COUNTIF(D$8:D$53,"&gt;="&amp;D28))</f>
        <v/>
      </c>
      <c r="D28" s="168" t="str">
        <f t="shared" si="1"/>
        <v/>
      </c>
      <c r="E28" s="1314">
        <f>RANK(L28,L$8:L$53,1)</f>
        <v>21</v>
      </c>
      <c r="F28" s="133" t="s">
        <v>98</v>
      </c>
      <c r="G28" s="149"/>
      <c r="H28" s="150"/>
      <c r="I28" s="1379">
        <f>(IF(COUNT(R28,T28,W28,Y28,AB28)&lt;3,SUM(R28,T28,W28,Y28,AB28),SUM(LARGE((R28,T28,W28,Y28,AB28),{1;2;3}))))+(IF(COUNT(Q28,U28,X28,Z28)&lt;3,SUM(Q28,U28,X28,Z28),SUM(LARGE((Q28,U28,X28,Z28),{1;2;3}))))+(IF(COUNT(P28,S28,V28,AA28)&lt;3,SUM(P28,S28,V28,AA28),SUM(LARGE((P28,S28,V28,AA28),{1;2;3}))))</f>
        <v>91</v>
      </c>
      <c r="J28" s="164" t="str">
        <f>INDEX(ETAPP!B$1:B$32,MATCH(COUNTIF(P28:AB28,PIV!A$1),ETAPP!A$1:A$32,0))&amp;INDEX(ETAPP!B$1:B$32,MATCH(COUNTIF(P28:AB28,PIV!A$2),ETAPP!A$1:A$32,0))&amp;INDEX(ETAPP!B$1:B$32,MATCH(COUNTIF(P28:AB28,PIV!A$3),ETAPP!A$1:A$32,0))&amp;INDEX(ETAPP!B$1:B$32,MATCH(COUNTIF(P28:AB28,PIV!A$4),ETAPP!A$1:A$32,0))&amp;INDEX(ETAPP!B$1:B$32,MATCH(COUNTIF(P28:AB28,PIV!A$5),ETAPP!A$1:A$32,0))&amp;INDEX(ETAPP!B$1:B$32,MATCH(COUNTIF(P28:AB28,PIV!A$6),ETAPP!A$1:A$32,0))&amp;INDEX(ETAPP!B$1:B$32,MATCH(COUNTIF(P28:AB28,PIV!A$7),ETAPP!A$1:A$32,0))&amp;INDEX(ETAPP!B$1:B$32,MATCH(COUNTIF(P28:AB28,PIV!A$8),ETAPP!A$1:A$32,0))&amp;INDEX(ETAPP!B$1:B$32,MATCH(COUNTIF(P28:AB28,PIV!A$9),ETAPP!A$1:A$32,0))&amp;INDEX(ETAPP!B$1:B$32,MATCH(COUNTIF(P28:AB28,PIV!A$10),ETAPP!A$1:A$32,0))&amp;INDEX(ETAPP!B$1:B$32,MATCH(COUNTIF(P28:AB28,PIV!A$11),ETAPP!A$1:A$32,0))&amp;INDEX(ETAPP!B$1:B$32,MATCH(COUNTIF(P28:AB28,PIV!A$12),ETAPP!A$1:A$32,0))&amp;INDEX(ETAPP!B$1:B$32,MATCH(COUNTIF(P28:AB28,PIV!A$13),ETAPP!A$1:A$32,0))&amp;INDEX(ETAPP!B$1:B$32,MATCH(COUNTIF(P28:AB28,PIV!A$14),ETAPP!A$1:A$32,0))&amp;INDEX(ETAPP!B$1:B$32,MATCH(COUNTIF(P28:AB28,PIV!A$15),ETAPP!A$1:A$32,0))&amp;INDEX(ETAPP!B$1:B$32,MATCH(COUNTIF(P28:AB28,PIV!A$16),ETAPP!A$1:A$32,0))&amp;INDEX(ETAPP!B$1:B$32,MATCH(COUNTIF(P28:AB28,PIV!A$17),ETAPP!A$1:A$32,0))&amp;INDEX(ETAPP!B$1:B$32,MATCH(COUNTIF(P28:AB28,PIV!A$18),ETAPP!A$1:A$32,0))&amp;INDEX(ETAPP!B$1:B$32,MATCH(COUNTIF(P28:AB28,PIV!A$19),ETAPP!A$1:A$32,0))</f>
        <v>A0000A0A000A0000A0C</v>
      </c>
      <c r="K28" s="164" t="str">
        <f t="shared" si="2"/>
        <v>091,0-A0000A0A000A0000A0C</v>
      </c>
      <c r="L28" s="127">
        <f>COUNTIF(K$8:K$53,"&gt;="&amp;K28)</f>
        <v>21</v>
      </c>
      <c r="M28" s="127">
        <f>COUNTIF(F$8:F$53,"&gt;="&amp;F28)</f>
        <v>42</v>
      </c>
      <c r="N28" s="164" t="str">
        <f t="shared" si="3"/>
        <v>091,0-A0000A0A000A0000A0C-042</v>
      </c>
      <c r="O28" s="844">
        <f>COUNTIF(N$8:N$53,"&lt;="&amp;N28)</f>
        <v>26</v>
      </c>
      <c r="P28" s="128">
        <f>IFERROR(INDEX('1'!C$300:C$400,MATCH("*"&amp;F28&amp;"*",'1'!B$300:B$400,0)),"  ")</f>
        <v>40</v>
      </c>
      <c r="Q28" s="129">
        <f>IFERROR(INDEX('2'!C$300:C$400,MATCH("*"&amp;F28&amp;"*",'2'!B$300:B$400,0)),"  ")</f>
        <v>22</v>
      </c>
      <c r="R28" s="129">
        <f>IFERROR(INDEX('3'!C$300:C$400,MATCH("*"&amp;F28&amp;"*",'3'!B$300:B$400,0)),"  ")</f>
        <v>10</v>
      </c>
      <c r="S28" s="129" t="str">
        <f>IFERROR(INDEX('4'!C$300:C$400,MATCH("*"&amp;F28&amp;"*",'4'!B$300:B$400,0)),"  ")</f>
        <v xml:space="preserve">  </v>
      </c>
      <c r="T28" s="129" t="str">
        <f>IFERROR(INDEX('5'!C$300:C$400,MATCH("*"&amp;F28&amp;"*",'5'!B$300:B$400,0)),"  ")</f>
        <v xml:space="preserve">  </v>
      </c>
      <c r="U28" s="129" t="str">
        <f>IFERROR(INDEX('6'!C$300:C$400,MATCH("*"&amp;F28&amp;"*",'6'!B$300:B$400,0)),"  ")</f>
        <v xml:space="preserve">  </v>
      </c>
      <c r="V28" s="129">
        <f>IFERROR(INDEX('7'!C$300:C$400,MATCH("*"&amp;F28&amp;"*",'7'!B$300:B$400,0)),"  ")</f>
        <v>18</v>
      </c>
      <c r="W28" s="129" t="str">
        <f>IFERROR(INDEX('8'!C$300:C$400,MATCH("*"&amp;F28&amp;"*",'8'!B$300:B$400,0)),"  ")</f>
        <v xml:space="preserve">  </v>
      </c>
      <c r="X28" s="129" t="str">
        <f>IFERROR(INDEX('9'!C$300:C$400,MATCH("*"&amp;F28&amp;"*",'9'!B$300:B$400,0)),"  ")</f>
        <v xml:space="preserve">  </v>
      </c>
      <c r="Y28" s="129">
        <f>IFERROR(INDEX('10'!C$300:C$400,MATCH("*"&amp;F28&amp;"*",'10'!B$300:B$400,0)),"  ")</f>
        <v>1</v>
      </c>
      <c r="Z28" s="128" t="str">
        <f>IFERROR(INDEX('11'!C$300:C$400,MATCH("*"&amp;F28&amp;"*",'11'!B$300:B$400,0)),"  ")</f>
        <v xml:space="preserve">  </v>
      </c>
      <c r="AA28" s="129" t="str">
        <f>IFERROR(INDEX('12'!C$300:C$400,MATCH("*"&amp;F28&amp;"*",'12'!B$300:B$400,0)),"  ")</f>
        <v xml:space="preserve">  </v>
      </c>
      <c r="AB28" s="129" t="str">
        <f>IFERROR(INDEX('13'!C$300:C$400,MATCH("*"&amp;F28&amp;"*",'13'!B$300:B$400,0)),"  ")</f>
        <v xml:space="preserve">  </v>
      </c>
      <c r="AC28" s="130">
        <f t="shared" si="4"/>
        <v>5</v>
      </c>
      <c r="AD28" s="130">
        <f t="shared" si="5"/>
        <v>1</v>
      </c>
      <c r="AE28" s="130">
        <f t="shared" si="6"/>
        <v>1</v>
      </c>
      <c r="AF28" s="1346">
        <f t="shared" si="7"/>
        <v>4.0000000000000002E-4</v>
      </c>
      <c r="AG28" s="1346">
        <f t="shared" si="8"/>
        <v>5.9999999999999995E-4</v>
      </c>
      <c r="AH28" s="1346">
        <f t="shared" si="9"/>
        <v>5.0000000000000001E-4</v>
      </c>
      <c r="AI28" s="1346">
        <f t="shared" si="10"/>
        <v>8.0000000000000004E-4</v>
      </c>
    </row>
    <row r="29" spans="1:37" ht="12.75" customHeight="1" x14ac:dyDescent="0.2">
      <c r="A29" s="978">
        <f>IF(B29="","",COUNTIF(B$8:B$53,"&gt;="&amp;B29))</f>
        <v>2</v>
      </c>
      <c r="B29" s="165" t="str">
        <f t="shared" si="0"/>
        <v>090,0-0B000A000000000000E</v>
      </c>
      <c r="C29" s="1016" t="str">
        <f>IF(D29="","",COUNTIF(D$8:D$53,"&gt;="&amp;D29))</f>
        <v/>
      </c>
      <c r="D29" s="168" t="str">
        <f t="shared" si="1"/>
        <v/>
      </c>
      <c r="E29" s="1314">
        <f>RANK(L29,L$8:L$53,1)</f>
        <v>22</v>
      </c>
      <c r="F29" s="133" t="s">
        <v>121</v>
      </c>
      <c r="G29" s="149" t="s">
        <v>137</v>
      </c>
      <c r="H29" s="150"/>
      <c r="I29" s="1379">
        <f>(IF(COUNT(R29,T29,W29,Y29,AB29)&lt;3,SUM(R29,T29,W29,Y29,AB29),SUM(LARGE((R29,T29,W29,Y29,AB29),{1;2;3}))))+(IF(COUNT(Q29,U29,X29,Z29)&lt;3,SUM(Q29,U29,X29,Z29),SUM(LARGE((Q29,U29,X29,Z29),{1;2;3}))))+(IF(COUNT(P29,S29,V29,AA29)&lt;3,SUM(P29,S29,V29,AA29),SUM(LARGE((P29,S29,V29,AA29),{1;2;3}))))</f>
        <v>90</v>
      </c>
      <c r="J29" s="164" t="str">
        <f>INDEX(ETAPP!B$1:B$32,MATCH(COUNTIF(P29:AB29,PIV!A$1),ETAPP!A$1:A$32,0))&amp;INDEX(ETAPP!B$1:B$32,MATCH(COUNTIF(P29:AB29,PIV!A$2),ETAPP!A$1:A$32,0))&amp;INDEX(ETAPP!B$1:B$32,MATCH(COUNTIF(P29:AB29,PIV!A$3),ETAPP!A$1:A$32,0))&amp;INDEX(ETAPP!B$1:B$32,MATCH(COUNTIF(P29:AB29,PIV!A$4),ETAPP!A$1:A$32,0))&amp;INDEX(ETAPP!B$1:B$32,MATCH(COUNTIF(P29:AB29,PIV!A$5),ETAPP!A$1:A$32,0))&amp;INDEX(ETAPP!B$1:B$32,MATCH(COUNTIF(P29:AB29,PIV!A$6),ETAPP!A$1:A$32,0))&amp;INDEX(ETAPP!B$1:B$32,MATCH(COUNTIF(P29:AB29,PIV!A$7),ETAPP!A$1:A$32,0))&amp;INDEX(ETAPP!B$1:B$32,MATCH(COUNTIF(P29:AB29,PIV!A$8),ETAPP!A$1:A$32,0))&amp;INDEX(ETAPP!B$1:B$32,MATCH(COUNTIF(P29:AB29,PIV!A$9),ETAPP!A$1:A$32,0))&amp;INDEX(ETAPP!B$1:B$32,MATCH(COUNTIF(P29:AB29,PIV!A$10),ETAPP!A$1:A$32,0))&amp;INDEX(ETAPP!B$1:B$32,MATCH(COUNTIF(P29:AB29,PIV!A$11),ETAPP!A$1:A$32,0))&amp;INDEX(ETAPP!B$1:B$32,MATCH(COUNTIF(P29:AB29,PIV!A$12),ETAPP!A$1:A$32,0))&amp;INDEX(ETAPP!B$1:B$32,MATCH(COUNTIF(P29:AB29,PIV!A$13),ETAPP!A$1:A$32,0))&amp;INDEX(ETAPP!B$1:B$32,MATCH(COUNTIF(P29:AB29,PIV!A$14),ETAPP!A$1:A$32,0))&amp;INDEX(ETAPP!B$1:B$32,MATCH(COUNTIF(P29:AB29,PIV!A$15),ETAPP!A$1:A$32,0))&amp;INDEX(ETAPP!B$1:B$32,MATCH(COUNTIF(P29:AB29,PIV!A$16),ETAPP!A$1:A$32,0))&amp;INDEX(ETAPP!B$1:B$32,MATCH(COUNTIF(P29:AB29,PIV!A$17),ETAPP!A$1:A$32,0))&amp;INDEX(ETAPP!B$1:B$32,MATCH(COUNTIF(P29:AB29,PIV!A$18),ETAPP!A$1:A$32,0))&amp;INDEX(ETAPP!B$1:B$32,MATCH(COUNTIF(P29:AB29,PIV!A$19),ETAPP!A$1:A$32,0))</f>
        <v>0B000A000000000000E</v>
      </c>
      <c r="K29" s="164" t="str">
        <f t="shared" si="2"/>
        <v>090,0-0B000A000000000000E</v>
      </c>
      <c r="L29" s="127">
        <f>COUNTIF(K$8:K$53,"&gt;="&amp;K29)</f>
        <v>22</v>
      </c>
      <c r="M29" s="127">
        <f>COUNTIF(F$8:F$53,"&gt;="&amp;F29)</f>
        <v>12</v>
      </c>
      <c r="N29" s="164" t="str">
        <f t="shared" si="3"/>
        <v>090,0-0B000A000000000000E-012</v>
      </c>
      <c r="O29" s="844">
        <f>COUNTIF(N$8:N$53,"&lt;="&amp;N29)</f>
        <v>25</v>
      </c>
      <c r="P29" s="128" t="str">
        <f>IFERROR(INDEX('1'!C$300:C$400,MATCH("*"&amp;F29&amp;"*",'1'!B$300:B$400,0)),"  ")</f>
        <v xml:space="preserve">  </v>
      </c>
      <c r="Q29" s="129" t="str">
        <f>IFERROR(INDEX('2'!C$300:C$400,MATCH("*"&amp;F29&amp;"*",'2'!B$300:B$400,0)),"  ")</f>
        <v xml:space="preserve">  </v>
      </c>
      <c r="R29" s="129" t="str">
        <f>IFERROR(INDEX('3'!C$300:C$400,MATCH("*"&amp;F29&amp;"*",'3'!B$300:B$400,0)),"  ")</f>
        <v xml:space="preserve">  </v>
      </c>
      <c r="S29" s="129">
        <f>IFERROR(INDEX('4'!C$300:C$400,MATCH("*"&amp;F29&amp;"*",'4'!B$300:B$400,0)),"  ")</f>
        <v>22</v>
      </c>
      <c r="T29" s="129" t="str">
        <f>IFERROR(INDEX('5'!C$300:C$400,MATCH("*"&amp;F29&amp;"*",'5'!B$300:B$400,0)),"  ")</f>
        <v xml:space="preserve">  </v>
      </c>
      <c r="U29" s="129" t="str">
        <f>IFERROR(INDEX('6'!C$300:C$400,MATCH("*"&amp;F29&amp;"*",'6'!B$300:B$400,0)),"  ")</f>
        <v xml:space="preserve">  </v>
      </c>
      <c r="V29" s="129">
        <f>IFERROR(INDEX('7'!C$300:C$400,MATCH("*"&amp;F29&amp;"*",'7'!B$300:B$400,0)),"  ")</f>
        <v>34</v>
      </c>
      <c r="W29" s="129" t="str">
        <f>IFERROR(INDEX('8'!C$300:C$400,MATCH("*"&amp;F29&amp;"*",'8'!B$300:B$400,0)),"  ")</f>
        <v xml:space="preserve">  </v>
      </c>
      <c r="X29" s="129">
        <f>IFERROR(INDEX('9'!C$300:C$400,MATCH("*"&amp;F29&amp;"*",'9'!B$300:B$400,0)),"  ")</f>
        <v>34</v>
      </c>
      <c r="Y29" s="129" t="str">
        <f>IFERROR(INDEX('10'!C$300:C$400,MATCH("*"&amp;F29&amp;"*",'10'!B$300:B$400,0)),"  ")</f>
        <v xml:space="preserve">  </v>
      </c>
      <c r="Z29" s="128" t="str">
        <f>IFERROR(INDEX('11'!C$300:C$400,MATCH("*"&amp;F29&amp;"*",'11'!B$300:B$400,0)),"  ")</f>
        <v xml:space="preserve">  </v>
      </c>
      <c r="AA29" s="129" t="str">
        <f>IFERROR(INDEX('12'!C$300:C$400,MATCH("*"&amp;F29&amp;"*",'12'!B$300:B$400,0)),"  ")</f>
        <v xml:space="preserve">  </v>
      </c>
      <c r="AB29" s="129" t="str">
        <f>IFERROR(INDEX('13'!C$300:C$400,MATCH("*"&amp;F29&amp;"*",'13'!B$300:B$400,0)),"  ")</f>
        <v xml:space="preserve">  </v>
      </c>
      <c r="AC29" s="131">
        <f t="shared" si="4"/>
        <v>3</v>
      </c>
      <c r="AD29" s="130">
        <f t="shared" si="5"/>
        <v>2</v>
      </c>
      <c r="AE29" s="130">
        <f t="shared" si="6"/>
        <v>0</v>
      </c>
      <c r="AF29" s="1346">
        <f t="shared" si="7"/>
        <v>1E-4</v>
      </c>
      <c r="AG29" s="1346">
        <f t="shared" si="8"/>
        <v>2.0000000000000001E-4</v>
      </c>
      <c r="AH29" s="1346">
        <f t="shared" si="9"/>
        <v>2.9999999999999997E-4</v>
      </c>
      <c r="AI29" s="1346">
        <f t="shared" si="10"/>
        <v>5.0000000000000001E-4</v>
      </c>
    </row>
    <row r="30" spans="1:37" s="290" customFormat="1" ht="12.75" customHeight="1" x14ac:dyDescent="0.2">
      <c r="A30" s="978" t="str">
        <f>IF(B30="","",COUNTIF(B$8:B$53,"&gt;="&amp;B30))</f>
        <v/>
      </c>
      <c r="B30" s="165" t="str">
        <f t="shared" si="0"/>
        <v/>
      </c>
      <c r="C30" s="1016" t="str">
        <f>IF(D30="","",COUNTIF(D$8:D$53,"&gt;="&amp;D30))</f>
        <v/>
      </c>
      <c r="D30" s="168" t="str">
        <f t="shared" si="1"/>
        <v/>
      </c>
      <c r="E30" s="1314">
        <f>RANK(L30,L$8:L$53,1)</f>
        <v>23</v>
      </c>
      <c r="F30" s="133" t="s">
        <v>114</v>
      </c>
      <c r="G30" s="149"/>
      <c r="H30" s="150"/>
      <c r="I30" s="1379">
        <f>(IF(COUNT(R30,T30,W30,Y30,AB30)&lt;3,SUM(R30,T30,W30,Y30,AB30),SUM(LARGE((R30,T30,W30,Y30,AB30),{1;2;3}))))+(IF(COUNT(Q30,U30,X30,Z30)&lt;3,SUM(Q30,U30,X30,Z30),SUM(LARGE((Q30,U30,X30,Z30),{1;2;3}))))+(IF(COUNT(P30,S30,V30,AA30)&lt;3,SUM(P30,S30,V30,AA30),SUM(LARGE((P30,S30,V30,AA30),{1;2;3}))))</f>
        <v>88</v>
      </c>
      <c r="J30" s="164" t="str">
        <f>INDEX(ETAPP!B$1:B$32,MATCH(COUNTIF(P30:AB30,PIV!A$1),ETAPP!A$1:A$32,0))&amp;INDEX(ETAPP!B$1:B$32,MATCH(COUNTIF(P30:AB30,PIV!A$2),ETAPP!A$1:A$32,0))&amp;INDEX(ETAPP!B$1:B$32,MATCH(COUNTIF(P30:AB30,PIV!A$3),ETAPP!A$1:A$32,0))&amp;INDEX(ETAPP!B$1:B$32,MATCH(COUNTIF(P30:AB30,PIV!A$4),ETAPP!A$1:A$32,0))&amp;INDEX(ETAPP!B$1:B$32,MATCH(COUNTIF(P30:AB30,PIV!A$5),ETAPP!A$1:A$32,0))&amp;INDEX(ETAPP!B$1:B$32,MATCH(COUNTIF(P30:AB30,PIV!A$6),ETAPP!A$1:A$32,0))&amp;INDEX(ETAPP!B$1:B$32,MATCH(COUNTIF(P30:AB30,PIV!A$7),ETAPP!A$1:A$32,0))&amp;INDEX(ETAPP!B$1:B$32,MATCH(COUNTIF(P30:AB30,PIV!A$8),ETAPP!A$1:A$32,0))&amp;INDEX(ETAPP!B$1:B$32,MATCH(COUNTIF(P30:AB30,PIV!A$9),ETAPP!A$1:A$32,0))&amp;INDEX(ETAPP!B$1:B$32,MATCH(COUNTIF(P30:AB30,PIV!A$10),ETAPP!A$1:A$32,0))&amp;INDEX(ETAPP!B$1:B$32,MATCH(COUNTIF(P30:AB30,PIV!A$11),ETAPP!A$1:A$32,0))&amp;INDEX(ETAPP!B$1:B$32,MATCH(COUNTIF(P30:AB30,PIV!A$12),ETAPP!A$1:A$32,0))&amp;INDEX(ETAPP!B$1:B$32,MATCH(COUNTIF(P30:AB30,PIV!A$13),ETAPP!A$1:A$32,0))&amp;INDEX(ETAPP!B$1:B$32,MATCH(COUNTIF(P30:AB30,PIV!A$14),ETAPP!A$1:A$32,0))&amp;INDEX(ETAPP!B$1:B$32,MATCH(COUNTIF(P30:AB30,PIV!A$15),ETAPP!A$1:A$32,0))&amp;INDEX(ETAPP!B$1:B$32,MATCH(COUNTIF(P30:AB30,PIV!A$16),ETAPP!A$1:A$32,0))&amp;INDEX(ETAPP!B$1:B$32,MATCH(COUNTIF(P30:AB30,PIV!A$17),ETAPP!A$1:A$32,0))&amp;INDEX(ETAPP!B$1:B$32,MATCH(COUNTIF(P30:AB30,PIV!A$18),ETAPP!A$1:A$32,0))&amp;INDEX(ETAPP!B$1:B$32,MATCH(COUNTIF(P30:AB30,PIV!A$19),ETAPP!A$1:A$32,0))</f>
        <v>0000ABA00000000000D</v>
      </c>
      <c r="K30" s="164" t="str">
        <f t="shared" si="2"/>
        <v>088,0-0000ABA00000000000D</v>
      </c>
      <c r="L30" s="127">
        <f>COUNTIF(K$8:K$53,"&gt;="&amp;K30)</f>
        <v>23</v>
      </c>
      <c r="M30" s="127">
        <f>COUNTIF(F$8:F$53,"&gt;="&amp;F30)</f>
        <v>27</v>
      </c>
      <c r="N30" s="164" t="str">
        <f t="shared" si="3"/>
        <v>088,0-0000ABA00000000000D-027</v>
      </c>
      <c r="O30" s="844">
        <f>COUNTIF(N$8:N$53,"&lt;="&amp;N30)</f>
        <v>24</v>
      </c>
      <c r="P30" s="128" t="str">
        <f>IFERROR(INDEX('1'!C$300:C$400,MATCH("*"&amp;F30&amp;"*",'1'!B$300:B$400,0)),"  ")</f>
        <v xml:space="preserve">  </v>
      </c>
      <c r="Q30" s="129" t="str">
        <f>IFERROR(INDEX('2'!C$300:C$400,MATCH("*"&amp;F30&amp;"*",'2'!B$300:B$400,0)),"  ")</f>
        <v xml:space="preserve">  </v>
      </c>
      <c r="R30" s="129" t="str">
        <f>IFERROR(INDEX('3'!C$300:C$400,MATCH("*"&amp;F30&amp;"*",'3'!B$300:B$400,0)),"  ")</f>
        <v xml:space="preserve">  </v>
      </c>
      <c r="S30" s="129">
        <f>IFERROR(INDEX('4'!C$300:C$400,MATCH("*"&amp;F30&amp;"*",'4'!B$300:B$400,0)),"  ")</f>
        <v>20</v>
      </c>
      <c r="T30" s="129" t="str">
        <f>IFERROR(INDEX('5'!C$300:C$400,MATCH("*"&amp;F30&amp;"*",'5'!B$300:B$400,0)),"  ")</f>
        <v xml:space="preserve">  </v>
      </c>
      <c r="U30" s="129">
        <f>IFERROR(INDEX('6'!C$300:C$400,MATCH("*"&amp;F30&amp;"*",'6'!B$300:B$400,0)),"  ")</f>
        <v>24</v>
      </c>
      <c r="V30" s="129">
        <f>IFERROR(INDEX('7'!C$300:C$400,MATCH("*"&amp;F30&amp;"*",'7'!B$300:B$400,0)),"  ")</f>
        <v>22</v>
      </c>
      <c r="W30" s="129" t="str">
        <f>IFERROR(INDEX('8'!C$300:C$400,MATCH("*"&amp;F30&amp;"*",'8'!B$300:B$400,0)),"  ")</f>
        <v xml:space="preserve">  </v>
      </c>
      <c r="X30" s="129" t="str">
        <f>IFERROR(INDEX('9'!C$300:C$400,MATCH("*"&amp;F30&amp;"*",'9'!B$300:B$400,0)),"  ")</f>
        <v xml:space="preserve">  </v>
      </c>
      <c r="Y30" s="129" t="str">
        <f>IFERROR(INDEX('10'!C$300:C$400,MATCH("*"&amp;F30&amp;"*",'10'!B$300:B$400,0)),"  ")</f>
        <v xml:space="preserve">  </v>
      </c>
      <c r="Z30" s="128">
        <f>IFERROR(INDEX('11'!C$300:C$400,MATCH("*"&amp;F30&amp;"*",'11'!B$300:B$400,0)),"  ")</f>
        <v>22</v>
      </c>
      <c r="AA30" s="129" t="str">
        <f>IFERROR(INDEX('12'!C$300:C$400,MATCH("*"&amp;F30&amp;"*",'12'!B$300:B$400,0)),"  ")</f>
        <v xml:space="preserve">  </v>
      </c>
      <c r="AB30" s="129" t="str">
        <f>IFERROR(INDEX('13'!C$300:C$400,MATCH("*"&amp;F30&amp;"*",'13'!B$300:B$400,0)),"  ")</f>
        <v xml:space="preserve">  </v>
      </c>
      <c r="AC30" s="130">
        <f t="shared" si="4"/>
        <v>4</v>
      </c>
      <c r="AD30" s="130">
        <f t="shared" si="5"/>
        <v>0</v>
      </c>
      <c r="AE30" s="130">
        <f t="shared" si="6"/>
        <v>0</v>
      </c>
      <c r="AF30" s="1346">
        <f t="shared" si="7"/>
        <v>1E-4</v>
      </c>
      <c r="AG30" s="1346">
        <f t="shared" si="8"/>
        <v>2.0000000000000001E-4</v>
      </c>
      <c r="AH30" s="1346">
        <f t="shared" si="9"/>
        <v>2.9999999999999997E-4</v>
      </c>
      <c r="AI30" s="1346">
        <f t="shared" si="10"/>
        <v>5.0000000000000001E-4</v>
      </c>
    </row>
    <row r="31" spans="1:37" ht="12.75" customHeight="1" x14ac:dyDescent="0.2">
      <c r="A31" s="978" t="str">
        <f>IF(B31="","",COUNTIF(B$8:B$53,"&gt;="&amp;B31))</f>
        <v/>
      </c>
      <c r="B31" s="165" t="str">
        <f t="shared" si="0"/>
        <v/>
      </c>
      <c r="C31" s="1016" t="str">
        <f>IF(D31="","",COUNTIF(D$8:D$53,"&gt;="&amp;D31))</f>
        <v/>
      </c>
      <c r="D31" s="168" t="str">
        <f t="shared" si="1"/>
        <v/>
      </c>
      <c r="E31" s="1314">
        <f>RANK(L31,L$8:L$53,1)</f>
        <v>24</v>
      </c>
      <c r="F31" s="30" t="s">
        <v>113</v>
      </c>
      <c r="G31" s="149"/>
      <c r="H31" s="150"/>
      <c r="I31" s="1379">
        <f>(IF(COUNT(R31,T31,W31,Y31,AB31)&lt;3,SUM(R31,T31,W31,Y31,AB31),SUM(LARGE((R31,T31,W31,Y31,AB31),{1;2;3}))))+(IF(COUNT(Q31,U31,X31,Z31)&lt;3,SUM(Q31,U31,X31,Z31),SUM(LARGE((Q31,U31,X31,Z31),{1;2;3}))))+(IF(COUNT(P31,S31,V31,AA31)&lt;3,SUM(P31,S31,V31,AA31),SUM(LARGE((P31,S31,V31,AA31),{1;2;3}))))</f>
        <v>83</v>
      </c>
      <c r="J31" s="164" t="str">
        <f>INDEX(ETAPP!B$1:B$32,MATCH(COUNTIF(P31:AB31,PIV!A$1),ETAPP!A$1:A$32,0))&amp;INDEX(ETAPP!B$1:B$32,MATCH(COUNTIF(P31:AB31,PIV!A$2),ETAPP!A$1:A$32,0))&amp;INDEX(ETAPP!B$1:B$32,MATCH(COUNTIF(P31:AB31,PIV!A$3),ETAPP!A$1:A$32,0))&amp;INDEX(ETAPP!B$1:B$32,MATCH(COUNTIF(P31:AB31,PIV!A$4),ETAPP!A$1:A$32,0))&amp;INDEX(ETAPP!B$1:B$32,MATCH(COUNTIF(P31:AB31,PIV!A$5),ETAPP!A$1:A$32,0))&amp;INDEX(ETAPP!B$1:B$32,MATCH(COUNTIF(P31:AB31,PIV!A$6),ETAPP!A$1:A$32,0))&amp;INDEX(ETAPP!B$1:B$32,MATCH(COUNTIF(P31:AB31,PIV!A$7),ETAPP!A$1:A$32,0))&amp;INDEX(ETAPP!B$1:B$32,MATCH(COUNTIF(P31:AB31,PIV!A$8),ETAPP!A$1:A$32,0))&amp;INDEX(ETAPP!B$1:B$32,MATCH(COUNTIF(P31:AB31,PIV!A$9),ETAPP!A$1:A$32,0))&amp;INDEX(ETAPP!B$1:B$32,MATCH(COUNTIF(P31:AB31,PIV!A$10),ETAPP!A$1:A$32,0))&amp;INDEX(ETAPP!B$1:B$32,MATCH(COUNTIF(P31:AB31,PIV!A$11),ETAPP!A$1:A$32,0))&amp;INDEX(ETAPP!B$1:B$32,MATCH(COUNTIF(P31:AB31,PIV!A$12),ETAPP!A$1:A$32,0))&amp;INDEX(ETAPP!B$1:B$32,MATCH(COUNTIF(P31:AB31,PIV!A$13),ETAPP!A$1:A$32,0))&amp;INDEX(ETAPP!B$1:B$32,MATCH(COUNTIF(P31:AB31,PIV!A$14),ETAPP!A$1:A$32,0))&amp;INDEX(ETAPP!B$1:B$32,MATCH(COUNTIF(P31:AB31,PIV!A$15),ETAPP!A$1:A$32,0))&amp;INDEX(ETAPP!B$1:B$32,MATCH(COUNTIF(P31:AB31,PIV!A$16),ETAPP!A$1:A$32,0))&amp;INDEX(ETAPP!B$1:B$32,MATCH(COUNTIF(P31:AB31,PIV!A$17),ETAPP!A$1:A$32,0))&amp;INDEX(ETAPP!B$1:B$32,MATCH(COUNTIF(P31:AB31,PIV!A$18),ETAPP!A$1:A$32,0))&amp;INDEX(ETAPP!B$1:B$32,MATCH(COUNTIF(P31:AB31,PIV!A$19),ETAPP!A$1:A$32,0))</f>
        <v>00000A0BA000A000A0G</v>
      </c>
      <c r="K31" s="164" t="str">
        <f t="shared" si="2"/>
        <v>083,0-00000A0BA000A000A0G</v>
      </c>
      <c r="L31" s="127">
        <f>COUNTIF(K$8:K$53,"&gt;="&amp;K31)</f>
        <v>24</v>
      </c>
      <c r="M31" s="127">
        <f>COUNTIF(F$8:F$53,"&gt;="&amp;F31)</f>
        <v>22</v>
      </c>
      <c r="N31" s="164" t="str">
        <f t="shared" si="3"/>
        <v>083,0-00000A0BA000A000A0G-022</v>
      </c>
      <c r="O31" s="844">
        <f>COUNTIF(N$8:N$53,"&lt;="&amp;N31)</f>
        <v>23</v>
      </c>
      <c r="P31" s="128" t="str">
        <f>IFERROR(INDEX('1'!C$300:C$400,MATCH("*"&amp;F31&amp;"*",'1'!B$300:B$400,0)),"  ")</f>
        <v xml:space="preserve">  </v>
      </c>
      <c r="Q31" s="129" t="str">
        <f>IFERROR(INDEX('2'!C$300:C$400,MATCH("*"&amp;F31&amp;"*",'2'!B$300:B$400,0)),"  ")</f>
        <v xml:space="preserve">  </v>
      </c>
      <c r="R31" s="129" t="str">
        <f>IFERROR(INDEX('3'!C$300:C$400,MATCH("*"&amp;F31&amp;"*",'3'!B$300:B$400,0)),"  ")</f>
        <v xml:space="preserve">  </v>
      </c>
      <c r="S31" s="129" t="str">
        <f>IFERROR(INDEX('4'!C$300:C$400,MATCH("*"&amp;F31&amp;"*",'4'!B$300:B$400,0)),"  ")</f>
        <v xml:space="preserve">  </v>
      </c>
      <c r="T31" s="129" t="str">
        <f>IFERROR(INDEX('5'!C$300:C$400,MATCH("*"&amp;F31&amp;"*",'5'!B$300:B$400,0)),"  ")</f>
        <v xml:space="preserve">  </v>
      </c>
      <c r="U31" s="129">
        <f>IFERROR(INDEX('6'!C$300:C$400,MATCH("*"&amp;F31&amp;"*",'6'!B$300:B$400,0)),"  ")</f>
        <v>18</v>
      </c>
      <c r="V31" s="129">
        <f>IFERROR(INDEX('7'!C$300:C$400,MATCH("*"&amp;F31&amp;"*",'7'!B$300:B$400,0)),"  ")</f>
        <v>18</v>
      </c>
      <c r="W31" s="129">
        <f>IFERROR(INDEX('8'!C$300:C$400,MATCH("*"&amp;F31&amp;"*",'8'!B$300:B$400,0)),"  ")</f>
        <v>8</v>
      </c>
      <c r="X31" s="129" t="str">
        <f>IFERROR(INDEX('9'!C$300:C$400,MATCH("*"&amp;F31&amp;"*",'9'!B$300:B$400,0)),"  ")</f>
        <v xml:space="preserve">  </v>
      </c>
      <c r="Y31" s="129">
        <f>IFERROR(INDEX('10'!C$300:C$400,MATCH("*"&amp;F31&amp;"*",'10'!B$300:B$400,0)),"  ")</f>
        <v>1</v>
      </c>
      <c r="Z31" s="128">
        <f>IFERROR(INDEX('11'!C$300:C$400,MATCH("*"&amp;F31&amp;"*",'11'!B$300:B$400,0)),"  ")</f>
        <v>16</v>
      </c>
      <c r="AA31" s="129">
        <f>IFERROR(INDEX('12'!C$300:C$400,MATCH("*"&amp;F31&amp;"*",'12'!B$300:B$400,0)),"  ")</f>
        <v>22</v>
      </c>
      <c r="AB31" s="129" t="str">
        <f>IFERROR(INDEX('13'!C$300:C$400,MATCH("*"&amp;F31&amp;"*",'13'!B$300:B$400,0)),"  ")</f>
        <v xml:space="preserve">  </v>
      </c>
      <c r="AC31" s="130">
        <f t="shared" si="4"/>
        <v>6</v>
      </c>
      <c r="AD31" s="130">
        <f t="shared" si="5"/>
        <v>0</v>
      </c>
      <c r="AE31" s="130">
        <f t="shared" si="6"/>
        <v>0</v>
      </c>
      <c r="AF31" s="1346">
        <f t="shared" si="7"/>
        <v>1E-4</v>
      </c>
      <c r="AG31" s="1346">
        <f t="shared" si="8"/>
        <v>2.0000000000000001E-4</v>
      </c>
      <c r="AH31" s="1346">
        <f t="shared" si="9"/>
        <v>2.9999999999999997E-4</v>
      </c>
      <c r="AI31" s="1346">
        <f t="shared" si="10"/>
        <v>5.0000000000000001E-4</v>
      </c>
    </row>
    <row r="32" spans="1:37" ht="12.75" customHeight="1" x14ac:dyDescent="0.2">
      <c r="A32" s="978" t="str">
        <f>IF(B32="","",COUNTIF(B$8:B$53,"&gt;="&amp;B32))</f>
        <v/>
      </c>
      <c r="B32" s="165" t="str">
        <f t="shared" si="0"/>
        <v/>
      </c>
      <c r="C32" s="1016" t="str">
        <f>IF(D32="","",COUNTIF(D$8:D$53,"&gt;="&amp;D32))</f>
        <v/>
      </c>
      <c r="D32" s="168" t="str">
        <f t="shared" si="1"/>
        <v/>
      </c>
      <c r="E32" s="1314">
        <f>RANK(L32,L$8:L$53,1)</f>
        <v>25</v>
      </c>
      <c r="F32" s="133" t="s">
        <v>105</v>
      </c>
      <c r="G32" s="149"/>
      <c r="H32" s="150"/>
      <c r="I32" s="1379">
        <f>(IF(COUNT(R32,T32,W32,Y32,AB32)&lt;3,SUM(R32,T32,W32,Y32,AB32),SUM(LARGE((R32,T32,W32,Y32,AB32),{1;2;3}))))+(IF(COUNT(Q32,U32,X32,Z32)&lt;3,SUM(Q32,U32,X32,Z32),SUM(LARGE((Q32,U32,X32,Z32),{1;2;3}))))+(IF(COUNT(P32,S32,V32,AA32)&lt;3,SUM(P32,S32,V32,AA32),SUM(LARGE((P32,S32,V32,AA32),{1;2;3}))))</f>
        <v>74</v>
      </c>
      <c r="J32" s="164" t="str">
        <f>INDEX(ETAPP!B$1:B$32,MATCH(COUNTIF(P32:AB32,PIV!A$1),ETAPP!A$1:A$32,0))&amp;INDEX(ETAPP!B$1:B$32,MATCH(COUNTIF(P32:AB32,PIV!A$2),ETAPP!A$1:A$32,0))&amp;INDEX(ETAPP!B$1:B$32,MATCH(COUNTIF(P32:AB32,PIV!A$3),ETAPP!A$1:A$32,0))&amp;INDEX(ETAPP!B$1:B$32,MATCH(COUNTIF(P32:AB32,PIV!A$4),ETAPP!A$1:A$32,0))&amp;INDEX(ETAPP!B$1:B$32,MATCH(COUNTIF(P32:AB32,PIV!A$5),ETAPP!A$1:A$32,0))&amp;INDEX(ETAPP!B$1:B$32,MATCH(COUNTIF(P32:AB32,PIV!A$6),ETAPP!A$1:A$32,0))&amp;INDEX(ETAPP!B$1:B$32,MATCH(COUNTIF(P32:AB32,PIV!A$7),ETAPP!A$1:A$32,0))&amp;INDEX(ETAPP!B$1:B$32,MATCH(COUNTIF(P32:AB32,PIV!A$8),ETAPP!A$1:A$32,0))&amp;INDEX(ETAPP!B$1:B$32,MATCH(COUNTIF(P32:AB32,PIV!A$9),ETAPP!A$1:A$32,0))&amp;INDEX(ETAPP!B$1:B$32,MATCH(COUNTIF(P32:AB32,PIV!A$10),ETAPP!A$1:A$32,0))&amp;INDEX(ETAPP!B$1:B$32,MATCH(COUNTIF(P32:AB32,PIV!A$11),ETAPP!A$1:A$32,0))&amp;INDEX(ETAPP!B$1:B$32,MATCH(COUNTIF(P32:AB32,PIV!A$12),ETAPP!A$1:A$32,0))&amp;INDEX(ETAPP!B$1:B$32,MATCH(COUNTIF(P32:AB32,PIV!A$13),ETAPP!A$1:A$32,0))&amp;INDEX(ETAPP!B$1:B$32,MATCH(COUNTIF(P32:AB32,PIV!A$14),ETAPP!A$1:A$32,0))&amp;INDEX(ETAPP!B$1:B$32,MATCH(COUNTIF(P32:AB32,PIV!A$15),ETAPP!A$1:A$32,0))&amp;INDEX(ETAPP!B$1:B$32,MATCH(COUNTIF(P32:AB32,PIV!A$16),ETAPP!A$1:A$32,0))&amp;INDEX(ETAPP!B$1:B$32,MATCH(COUNTIF(P32:AB32,PIV!A$17),ETAPP!A$1:A$32,0))&amp;INDEX(ETAPP!B$1:B$32,MATCH(COUNTIF(P32:AB32,PIV!A$18),ETAPP!A$1:A$32,0))&amp;INDEX(ETAPP!B$1:B$32,MATCH(COUNTIF(P32:AB32,PIV!A$19),ETAPP!A$1:A$32,0))</f>
        <v>A0000A0000A0000000E</v>
      </c>
      <c r="K32" s="164" t="str">
        <f t="shared" si="2"/>
        <v>074,0-A0000A0000A0000000E</v>
      </c>
      <c r="L32" s="127">
        <f>COUNTIF(K$8:K$53,"&gt;="&amp;K32)</f>
        <v>25</v>
      </c>
      <c r="M32" s="127">
        <f>COUNTIF(F$8:F$53,"&gt;="&amp;F32)</f>
        <v>1</v>
      </c>
      <c r="N32" s="164" t="str">
        <f t="shared" si="3"/>
        <v>074,0-A0000A0000A0000000E-001</v>
      </c>
      <c r="O32" s="844">
        <f>COUNTIF(N$8:N$53,"&lt;="&amp;N32)</f>
        <v>22</v>
      </c>
      <c r="P32" s="128" t="str">
        <f>IFERROR(INDEX('1'!C$300:C$400,MATCH("*"&amp;F32&amp;"*",'1'!B$300:B$400,0)),"  ")</f>
        <v xml:space="preserve">  </v>
      </c>
      <c r="Q32" s="129" t="str">
        <f>IFERROR(INDEX('2'!C$300:C$400,MATCH("*"&amp;F32&amp;"*",'2'!B$300:B$400,0)),"  ")</f>
        <v xml:space="preserve">  </v>
      </c>
      <c r="R32" s="129" t="str">
        <f>IFERROR(INDEX('3'!C$300:C$400,MATCH("*"&amp;F32&amp;"*",'3'!B$300:B$400,0)),"  ")</f>
        <v xml:space="preserve">  </v>
      </c>
      <c r="S32" s="129" t="str">
        <f>IFERROR(INDEX('4'!C$300:C$400,MATCH("*"&amp;F32&amp;"*",'4'!B$300:B$400,0)),"  ")</f>
        <v xml:space="preserve">  </v>
      </c>
      <c r="T32" s="129" t="str">
        <f>IFERROR(INDEX('5'!C$300:C$400,MATCH("*"&amp;F32&amp;"*",'5'!B$300:B$400,0)),"  ")</f>
        <v xml:space="preserve">  </v>
      </c>
      <c r="U32" s="129" t="str">
        <f>IFERROR(INDEX('6'!C$300:C$400,MATCH("*"&amp;F32&amp;"*",'6'!B$300:B$400,0)),"  ")</f>
        <v xml:space="preserve">  </v>
      </c>
      <c r="V32" s="129">
        <f>IFERROR(INDEX('7'!C$300:C$400,MATCH("*"&amp;F32&amp;"*",'7'!B$300:B$400,0)),"  ")</f>
        <v>22</v>
      </c>
      <c r="W32" s="129">
        <f>IFERROR(INDEX('8'!C$300:C$400,MATCH("*"&amp;F32&amp;"*",'8'!B$300:B$400,0)),"  ")</f>
        <v>12</v>
      </c>
      <c r="X32" s="129" t="str">
        <f>IFERROR(INDEX('9'!C$300:C$400,MATCH("*"&amp;F32&amp;"*",'9'!B$300:B$400,0)),"  ")</f>
        <v xml:space="preserve">  </v>
      </c>
      <c r="Y32" s="129" t="str">
        <f>IFERROR(INDEX('10'!C$300:C$400,MATCH("*"&amp;F32&amp;"*",'10'!B$300:B$400,0)),"  ")</f>
        <v xml:space="preserve">  </v>
      </c>
      <c r="Z32" s="128" t="str">
        <f>IFERROR(INDEX('11'!C$300:C$400,MATCH("*"&amp;F32&amp;"*",'11'!B$300:B$400,0)),"  ")</f>
        <v xml:space="preserve">  </v>
      </c>
      <c r="AA32" s="129">
        <f>IFERROR(INDEX('12'!C$300:C$400,MATCH("*"&amp;F32&amp;"*",'12'!B$300:B$400,0)),"  ")</f>
        <v>40</v>
      </c>
      <c r="AB32" s="129" t="str">
        <f>IFERROR(INDEX('13'!C$300:C$400,MATCH("*"&amp;F32&amp;"*",'13'!B$300:B$400,0)),"  ")</f>
        <v xml:space="preserve">  </v>
      </c>
      <c r="AC32" s="131">
        <f t="shared" si="4"/>
        <v>3</v>
      </c>
      <c r="AD32" s="130">
        <f t="shared" si="5"/>
        <v>1</v>
      </c>
      <c r="AE32" s="130">
        <f t="shared" si="6"/>
        <v>1</v>
      </c>
      <c r="AF32" s="1346">
        <f t="shared" si="7"/>
        <v>1E-4</v>
      </c>
      <c r="AG32" s="1346">
        <f t="shared" si="8"/>
        <v>2.0000000000000001E-4</v>
      </c>
      <c r="AH32" s="1346">
        <f t="shared" si="9"/>
        <v>2.9999999999999997E-4</v>
      </c>
      <c r="AI32" s="1346">
        <f t="shared" si="10"/>
        <v>5.0000000000000001E-4</v>
      </c>
    </row>
    <row r="33" spans="1:35" s="134" customFormat="1" ht="12.75" customHeight="1" x14ac:dyDescent="0.2">
      <c r="A33" s="978" t="str">
        <f>IF(B33="","",COUNTIF(B$8:B$53,"&gt;="&amp;B33))</f>
        <v/>
      </c>
      <c r="B33" s="165" t="str">
        <f t="shared" si="0"/>
        <v/>
      </c>
      <c r="C33" s="1016" t="str">
        <f>IF(D33="","",COUNTIF(D$8:D$53,"&gt;="&amp;D33))</f>
        <v/>
      </c>
      <c r="D33" s="168" t="str">
        <f t="shared" si="1"/>
        <v/>
      </c>
      <c r="E33" s="1314">
        <f>RANK(L33,L$8:L$53,1)</f>
        <v>26</v>
      </c>
      <c r="F33" s="30" t="s">
        <v>117</v>
      </c>
      <c r="G33" s="149"/>
      <c r="H33" s="150"/>
      <c r="I33" s="1379">
        <f>(IF(COUNT(R33,T33,W33,Y33,AB33)&lt;3,SUM(R33,T33,W33,Y33,AB33),SUM(LARGE((R33,T33,W33,Y33,AB33),{1;2;3}))))+(IF(COUNT(Q33,U33,X33,Z33)&lt;3,SUM(Q33,U33,X33,Z33),SUM(LARGE((Q33,U33,X33,Z33),{1;2;3}))))+(IF(COUNT(P33,S33,V33,AA33)&lt;3,SUM(P33,S33,V33,AA33),SUM(LARGE((P33,S33,V33,AA33),{1;2;3}))))</f>
        <v>72</v>
      </c>
      <c r="J33" s="164" t="str">
        <f>INDEX(ETAPP!B$1:B$32,MATCH(COUNTIF(P33:AB33,PIV!A$1),ETAPP!A$1:A$32,0))&amp;INDEX(ETAPP!B$1:B$32,MATCH(COUNTIF(P33:AB33,PIV!A$2),ETAPP!A$1:A$32,0))&amp;INDEX(ETAPP!B$1:B$32,MATCH(COUNTIF(P33:AB33,PIV!A$3),ETAPP!A$1:A$32,0))&amp;INDEX(ETAPP!B$1:B$32,MATCH(COUNTIF(P33:AB33,PIV!A$4),ETAPP!A$1:A$32,0))&amp;INDEX(ETAPP!B$1:B$32,MATCH(COUNTIF(P33:AB33,PIV!A$5),ETAPP!A$1:A$32,0))&amp;INDEX(ETAPP!B$1:B$32,MATCH(COUNTIF(P33:AB33,PIV!A$6),ETAPP!A$1:A$32,0))&amp;INDEX(ETAPP!B$1:B$32,MATCH(COUNTIF(P33:AB33,PIV!A$7),ETAPP!A$1:A$32,0))&amp;INDEX(ETAPP!B$1:B$32,MATCH(COUNTIF(P33:AB33,PIV!A$8),ETAPP!A$1:A$32,0))&amp;INDEX(ETAPP!B$1:B$32,MATCH(COUNTIF(P33:AB33,PIV!A$9),ETAPP!A$1:A$32,0))&amp;INDEX(ETAPP!B$1:B$32,MATCH(COUNTIF(P33:AB33,PIV!A$10),ETAPP!A$1:A$32,0))&amp;INDEX(ETAPP!B$1:B$32,MATCH(COUNTIF(P33:AB33,PIV!A$11),ETAPP!A$1:A$32,0))&amp;INDEX(ETAPP!B$1:B$32,MATCH(COUNTIF(P33:AB33,PIV!A$12),ETAPP!A$1:A$32,0))&amp;INDEX(ETAPP!B$1:B$32,MATCH(COUNTIF(P33:AB33,PIV!A$13),ETAPP!A$1:A$32,0))&amp;INDEX(ETAPP!B$1:B$32,MATCH(COUNTIF(P33:AB33,PIV!A$14),ETAPP!A$1:A$32,0))&amp;INDEX(ETAPP!B$1:B$32,MATCH(COUNTIF(P33:AB33,PIV!A$15),ETAPP!A$1:A$32,0))&amp;INDEX(ETAPP!B$1:B$32,MATCH(COUNTIF(P33:AB33,PIV!A$16),ETAPP!A$1:A$32,0))&amp;INDEX(ETAPP!B$1:B$32,MATCH(COUNTIF(P33:AB33,PIV!A$17),ETAPP!A$1:A$32,0))&amp;INDEX(ETAPP!B$1:B$32,MATCH(COUNTIF(P33:AB33,PIV!A$18),ETAPP!A$1:A$32,0))&amp;INDEX(ETAPP!B$1:B$32,MATCH(COUNTIF(P33:AB33,PIV!A$19),ETAPP!A$1:A$32,0))</f>
        <v>00AA0000A000000000E</v>
      </c>
      <c r="K33" s="164" t="str">
        <f t="shared" si="2"/>
        <v>072,0-00AA0000A000000000E</v>
      </c>
      <c r="L33" s="127">
        <f>COUNTIF(K$8:K$53,"&gt;="&amp;K33)</f>
        <v>26</v>
      </c>
      <c r="M33" s="127">
        <f>COUNTIF(F$8:F$53,"&gt;="&amp;F33)</f>
        <v>33</v>
      </c>
      <c r="N33" s="164" t="str">
        <f t="shared" si="3"/>
        <v>072,0-00AA0000A000000000E-033</v>
      </c>
      <c r="O33" s="844">
        <f>COUNTIF(N$8:N$53,"&lt;="&amp;N33)</f>
        <v>21</v>
      </c>
      <c r="P33" s="128" t="str">
        <f>IFERROR(INDEX('1'!C$300:C$400,MATCH("*"&amp;F33&amp;"*",'1'!B$300:B$400,0)),"  ")</f>
        <v xml:space="preserve">  </v>
      </c>
      <c r="Q33" s="129" t="str">
        <f>IFERROR(INDEX('2'!C$300:C$400,MATCH("*"&amp;F33&amp;"*",'2'!B$300:B$400,0)),"  ")</f>
        <v xml:space="preserve">  </v>
      </c>
      <c r="R33" s="129" t="str">
        <f>IFERROR(INDEX('3'!C$300:C$400,MATCH("*"&amp;F33&amp;"*",'3'!B$300:B$400,0)),"  ")</f>
        <v xml:space="preserve">  </v>
      </c>
      <c r="S33" s="129">
        <f>IFERROR(INDEX('4'!C$300:C$400,MATCH("*"&amp;F33&amp;"*",'4'!B$300:B$400,0)),"  ")</f>
        <v>16</v>
      </c>
      <c r="T33" s="129" t="str">
        <f>IFERROR(INDEX('5'!C$300:C$400,MATCH("*"&amp;F33&amp;"*",'5'!B$300:B$400,0)),"  ")</f>
        <v xml:space="preserve">  </v>
      </c>
      <c r="U33" s="129">
        <f>IFERROR(INDEX('6'!C$300:C$400,MATCH("*"&amp;F33&amp;"*",'6'!B$300:B$400,0)),"  ")</f>
        <v>26</v>
      </c>
      <c r="V33" s="129">
        <f>IFERROR(INDEX('7'!C$300:C$400,MATCH("*"&amp;F33&amp;"*",'7'!B$300:B$400,0)),"  ")</f>
        <v>30</v>
      </c>
      <c r="W33" s="129" t="str">
        <f>IFERROR(INDEX('8'!C$300:C$400,MATCH("*"&amp;F33&amp;"*",'8'!B$300:B$400,0)),"  ")</f>
        <v xml:space="preserve">  </v>
      </c>
      <c r="X33" s="129" t="str">
        <f>IFERROR(INDEX('9'!C$300:C$400,MATCH("*"&amp;F33&amp;"*",'9'!B$300:B$400,0)),"  ")</f>
        <v xml:space="preserve">  </v>
      </c>
      <c r="Y33" s="129" t="str">
        <f>IFERROR(INDEX('10'!C$300:C$400,MATCH("*"&amp;F33&amp;"*",'10'!B$300:B$400,0)),"  ")</f>
        <v xml:space="preserve">  </v>
      </c>
      <c r="Z33" s="128" t="str">
        <f>IFERROR(INDEX('11'!C$300:C$400,MATCH("*"&amp;F33&amp;"*",'11'!B$300:B$400,0)),"  ")</f>
        <v xml:space="preserve">  </v>
      </c>
      <c r="AA33" s="129" t="str">
        <f>IFERROR(INDEX('12'!C$300:C$400,MATCH("*"&amp;F33&amp;"*",'12'!B$300:B$400,0)),"  ")</f>
        <v xml:space="preserve">  </v>
      </c>
      <c r="AB33" s="129" t="str">
        <f>IFERROR(INDEX('13'!C$300:C$400,MATCH("*"&amp;F33&amp;"*",'13'!B$300:B$400,0)),"  ")</f>
        <v xml:space="preserve">  </v>
      </c>
      <c r="AC33" s="130">
        <f t="shared" si="4"/>
        <v>3</v>
      </c>
      <c r="AD33" s="130">
        <f t="shared" si="5"/>
        <v>1</v>
      </c>
      <c r="AE33" s="130">
        <f t="shared" si="6"/>
        <v>0</v>
      </c>
      <c r="AF33" s="1346">
        <f t="shared" si="7"/>
        <v>1E-4</v>
      </c>
      <c r="AG33" s="1346">
        <f t="shared" si="8"/>
        <v>2.0000000000000001E-4</v>
      </c>
      <c r="AH33" s="1346">
        <f t="shared" si="9"/>
        <v>2.9999999999999997E-4</v>
      </c>
      <c r="AI33" s="1346">
        <f t="shared" si="10"/>
        <v>5.0000000000000001E-4</v>
      </c>
    </row>
    <row r="34" spans="1:35" s="134" customFormat="1" ht="12.75" customHeight="1" x14ac:dyDescent="0.2">
      <c r="A34" s="978">
        <f>IF(B34="","",COUNTIF(B$8:B$53,"&gt;="&amp;B34))</f>
        <v>3</v>
      </c>
      <c r="B34" s="165" t="str">
        <f t="shared" si="0"/>
        <v>066,0-A00A00000000000000F</v>
      </c>
      <c r="C34" s="1016" t="str">
        <f>IF(D34="","",COUNTIF(D$8:D$53,"&gt;="&amp;D34))</f>
        <v/>
      </c>
      <c r="D34" s="168" t="str">
        <f t="shared" si="1"/>
        <v/>
      </c>
      <c r="E34" s="1314">
        <f>RANK(L34,L$8:L$53,1)</f>
        <v>27</v>
      </c>
      <c r="F34" s="30" t="s">
        <v>110</v>
      </c>
      <c r="G34" s="149" t="s">
        <v>137</v>
      </c>
      <c r="H34" s="150"/>
      <c r="I34" s="1379">
        <f>(IF(COUNT(R34,T34,W34,Y34,AB34)&lt;3,SUM(R34,T34,W34,Y34,AB34),SUM(LARGE((R34,T34,W34,Y34,AB34),{1;2;3}))))+(IF(COUNT(Q34,U34,X34,Z34)&lt;3,SUM(Q34,U34,X34,Z34),SUM(LARGE((Q34,U34,X34,Z34),{1;2;3}))))+(IF(COUNT(P34,S34,V34,AA34)&lt;3,SUM(P34,S34,V34,AA34),SUM(LARGE((P34,S34,V34,AA34),{1;2;3}))))</f>
        <v>66</v>
      </c>
      <c r="J34" s="164" t="str">
        <f>INDEX(ETAPP!B$1:B$32,MATCH(COUNTIF(P34:AB34,PIV!A$1),ETAPP!A$1:A$32,0))&amp;INDEX(ETAPP!B$1:B$32,MATCH(COUNTIF(P34:AB34,PIV!A$2),ETAPP!A$1:A$32,0))&amp;INDEX(ETAPP!B$1:B$32,MATCH(COUNTIF(P34:AB34,PIV!A$3),ETAPP!A$1:A$32,0))&amp;INDEX(ETAPP!B$1:B$32,MATCH(COUNTIF(P34:AB34,PIV!A$4),ETAPP!A$1:A$32,0))&amp;INDEX(ETAPP!B$1:B$32,MATCH(COUNTIF(P34:AB34,PIV!A$5),ETAPP!A$1:A$32,0))&amp;INDEX(ETAPP!B$1:B$32,MATCH(COUNTIF(P34:AB34,PIV!A$6),ETAPP!A$1:A$32,0))&amp;INDEX(ETAPP!B$1:B$32,MATCH(COUNTIF(P34:AB34,PIV!A$7),ETAPP!A$1:A$32,0))&amp;INDEX(ETAPP!B$1:B$32,MATCH(COUNTIF(P34:AB34,PIV!A$8),ETAPP!A$1:A$32,0))&amp;INDEX(ETAPP!B$1:B$32,MATCH(COUNTIF(P34:AB34,PIV!A$9),ETAPP!A$1:A$32,0))&amp;INDEX(ETAPP!B$1:B$32,MATCH(COUNTIF(P34:AB34,PIV!A$10),ETAPP!A$1:A$32,0))&amp;INDEX(ETAPP!B$1:B$32,MATCH(COUNTIF(P34:AB34,PIV!A$11),ETAPP!A$1:A$32,0))&amp;INDEX(ETAPP!B$1:B$32,MATCH(COUNTIF(P34:AB34,PIV!A$12),ETAPP!A$1:A$32,0))&amp;INDEX(ETAPP!B$1:B$32,MATCH(COUNTIF(P34:AB34,PIV!A$13),ETAPP!A$1:A$32,0))&amp;INDEX(ETAPP!B$1:B$32,MATCH(COUNTIF(P34:AB34,PIV!A$14),ETAPP!A$1:A$32,0))&amp;INDEX(ETAPP!B$1:B$32,MATCH(COUNTIF(P34:AB34,PIV!A$15),ETAPP!A$1:A$32,0))&amp;INDEX(ETAPP!B$1:B$32,MATCH(COUNTIF(P34:AB34,PIV!A$16),ETAPP!A$1:A$32,0))&amp;INDEX(ETAPP!B$1:B$32,MATCH(COUNTIF(P34:AB34,PIV!A$17),ETAPP!A$1:A$32,0))&amp;INDEX(ETAPP!B$1:B$32,MATCH(COUNTIF(P34:AB34,PIV!A$18),ETAPP!A$1:A$32,0))&amp;INDEX(ETAPP!B$1:B$32,MATCH(COUNTIF(P34:AB34,PIV!A$19),ETAPP!A$1:A$32,0))</f>
        <v>A00A00000000000000F</v>
      </c>
      <c r="K34" s="164" t="str">
        <f t="shared" si="2"/>
        <v>066,0-A00A00000000000000F</v>
      </c>
      <c r="L34" s="127">
        <f>COUNTIF(K$8:K$53,"&gt;="&amp;K34)</f>
        <v>28</v>
      </c>
      <c r="M34" s="127">
        <f>COUNTIF(F$8:F$53,"&gt;="&amp;F34)</f>
        <v>45</v>
      </c>
      <c r="N34" s="164" t="str">
        <f t="shared" si="3"/>
        <v>066,0-A00A00000000000000F-045</v>
      </c>
      <c r="O34" s="844">
        <f>COUNTIF(N$8:N$53,"&lt;="&amp;N34)</f>
        <v>20</v>
      </c>
      <c r="P34" s="128" t="str">
        <f>IFERROR(INDEX('1'!C$300:C$400,MATCH("*"&amp;F34&amp;"*",'1'!B$300:B$400,0)),"  ")</f>
        <v xml:space="preserve">  </v>
      </c>
      <c r="Q34" s="129" t="str">
        <f>IFERROR(INDEX('2'!C$300:C$400,MATCH("*"&amp;F34&amp;"*",'2'!B$300:B$400,0)),"  ")</f>
        <v xml:space="preserve">  </v>
      </c>
      <c r="R34" s="129" t="str">
        <f>IFERROR(INDEX('3'!C$300:C$400,MATCH("*"&amp;F34&amp;"*",'3'!B$300:B$400,0)),"  ")</f>
        <v xml:space="preserve">  </v>
      </c>
      <c r="S34" s="129" t="str">
        <f>IFERROR(INDEX('4'!C$300:C$400,MATCH("*"&amp;F34&amp;"*",'4'!B$300:B$400,0)),"  ")</f>
        <v xml:space="preserve">  </v>
      </c>
      <c r="T34" s="129" t="str">
        <f>IFERROR(INDEX('5'!C$300:C$400,MATCH("*"&amp;F34&amp;"*",'5'!B$300:B$400,0)),"  ")</f>
        <v xml:space="preserve">  </v>
      </c>
      <c r="U34" s="129" t="str">
        <f>IFERROR(INDEX('6'!C$300:C$400,MATCH("*"&amp;F34&amp;"*",'6'!B$300:B$400,0)),"  ")</f>
        <v xml:space="preserve">  </v>
      </c>
      <c r="V34" s="129" t="str">
        <f>IFERROR(INDEX('7'!C$300:C$400,MATCH("*"&amp;F34&amp;"*",'7'!B$300:B$400,0)),"  ")</f>
        <v xml:space="preserve">  </v>
      </c>
      <c r="W34" s="129" t="str">
        <f>IFERROR(INDEX('8'!C$300:C$400,MATCH("*"&amp;F34&amp;"*",'8'!B$300:B$400,0)),"  ")</f>
        <v xml:space="preserve">  </v>
      </c>
      <c r="X34" s="129">
        <f>IFERROR(INDEX('9'!C$300:C$400,MATCH("*"&amp;F34&amp;"*",'9'!B$300:B$400,0)),"  ")</f>
        <v>40</v>
      </c>
      <c r="Y34" s="129" t="str">
        <f>IFERROR(INDEX('10'!C$300:C$400,MATCH("*"&amp;F34&amp;"*",'10'!B$300:B$400,0)),"  ")</f>
        <v xml:space="preserve">  </v>
      </c>
      <c r="Z34" s="128">
        <f>IFERROR(INDEX('11'!C$300:C$400,MATCH("*"&amp;F34&amp;"*",'11'!B$300:B$400,0)),"  ")</f>
        <v>26</v>
      </c>
      <c r="AA34" s="129" t="str">
        <f>IFERROR(INDEX('12'!C$300:C$400,MATCH("*"&amp;F34&amp;"*",'12'!B$300:B$400,0)),"  ")</f>
        <v xml:space="preserve">  </v>
      </c>
      <c r="AB34" s="129" t="str">
        <f>IFERROR(INDEX('13'!C$300:C$400,MATCH("*"&amp;F34&amp;"*",'13'!B$300:B$400,0)),"  ")</f>
        <v xml:space="preserve">  </v>
      </c>
      <c r="AC34" s="130">
        <f t="shared" si="4"/>
        <v>2</v>
      </c>
      <c r="AD34" s="130">
        <f t="shared" si="5"/>
        <v>1</v>
      </c>
      <c r="AE34" s="130">
        <f t="shared" si="6"/>
        <v>1</v>
      </c>
      <c r="AF34" s="1346">
        <f t="shared" si="7"/>
        <v>1E-4</v>
      </c>
      <c r="AG34" s="1346">
        <f t="shared" si="8"/>
        <v>2.0000000000000001E-4</v>
      </c>
      <c r="AH34" s="1346">
        <f t="shared" si="9"/>
        <v>2.9999999999999997E-4</v>
      </c>
      <c r="AI34" s="1346">
        <f t="shared" si="10"/>
        <v>5.0000000000000001E-4</v>
      </c>
    </row>
    <row r="35" spans="1:35" ht="12.75" customHeight="1" x14ac:dyDescent="0.2">
      <c r="A35" s="978" t="str">
        <f>IF(B35="","",COUNTIF(B$8:B$53,"&gt;="&amp;B35))</f>
        <v/>
      </c>
      <c r="B35" s="165" t="str">
        <f t="shared" si="0"/>
        <v/>
      </c>
      <c r="C35" s="1016" t="str">
        <f>IF(D35="","",COUNTIF(D$8:D$53,"&gt;="&amp;D35))</f>
        <v/>
      </c>
      <c r="D35" s="168" t="str">
        <f t="shared" si="1"/>
        <v/>
      </c>
      <c r="E35" s="1314">
        <f>RANK(L35,L$8:L$53,1)</f>
        <v>27</v>
      </c>
      <c r="F35" s="30" t="s">
        <v>111</v>
      </c>
      <c r="G35" s="149"/>
      <c r="H35" s="150"/>
      <c r="I35" s="1379">
        <f>(IF(COUNT(R35,T35,W35,Y35,AB35)&lt;3,SUM(R35,T35,W35,Y35,AB35),SUM(LARGE((R35,T35,W35,Y35,AB35),{1;2;3}))))+(IF(COUNT(Q35,U35,X35,Z35)&lt;3,SUM(Q35,U35,X35,Z35),SUM(LARGE((Q35,U35,X35,Z35),{1;2;3}))))+(IF(COUNT(P35,S35,V35,AA35)&lt;3,SUM(P35,S35,V35,AA35),SUM(LARGE((P35,S35,V35,AA35),{1;2;3}))))</f>
        <v>66</v>
      </c>
      <c r="J35" s="164" t="str">
        <f>INDEX(ETAPP!B$1:B$32,MATCH(COUNTIF(P35:AB35,PIV!A$1),ETAPP!A$1:A$32,0))&amp;INDEX(ETAPP!B$1:B$32,MATCH(COUNTIF(P35:AB35,PIV!A$2),ETAPP!A$1:A$32,0))&amp;INDEX(ETAPP!B$1:B$32,MATCH(COUNTIF(P35:AB35,PIV!A$3),ETAPP!A$1:A$32,0))&amp;INDEX(ETAPP!B$1:B$32,MATCH(COUNTIF(P35:AB35,PIV!A$4),ETAPP!A$1:A$32,0))&amp;INDEX(ETAPP!B$1:B$32,MATCH(COUNTIF(P35:AB35,PIV!A$5),ETAPP!A$1:A$32,0))&amp;INDEX(ETAPP!B$1:B$32,MATCH(COUNTIF(P35:AB35,PIV!A$6),ETAPP!A$1:A$32,0))&amp;INDEX(ETAPP!B$1:B$32,MATCH(COUNTIF(P35:AB35,PIV!A$7),ETAPP!A$1:A$32,0))&amp;INDEX(ETAPP!B$1:B$32,MATCH(COUNTIF(P35:AB35,PIV!A$8),ETAPP!A$1:A$32,0))&amp;INDEX(ETAPP!B$1:B$32,MATCH(COUNTIF(P35:AB35,PIV!A$9),ETAPP!A$1:A$32,0))&amp;INDEX(ETAPP!B$1:B$32,MATCH(COUNTIF(P35:AB35,PIV!A$10),ETAPP!A$1:A$32,0))&amp;INDEX(ETAPP!B$1:B$32,MATCH(COUNTIF(P35:AB35,PIV!A$11),ETAPP!A$1:A$32,0))&amp;INDEX(ETAPP!B$1:B$32,MATCH(COUNTIF(P35:AB35,PIV!A$12),ETAPP!A$1:A$32,0))&amp;INDEX(ETAPP!B$1:B$32,MATCH(COUNTIF(P35:AB35,PIV!A$13),ETAPP!A$1:A$32,0))&amp;INDEX(ETAPP!B$1:B$32,MATCH(COUNTIF(P35:AB35,PIV!A$14),ETAPP!A$1:A$32,0))&amp;INDEX(ETAPP!B$1:B$32,MATCH(COUNTIF(P35:AB35,PIV!A$15),ETAPP!A$1:A$32,0))&amp;INDEX(ETAPP!B$1:B$32,MATCH(COUNTIF(P35:AB35,PIV!A$16),ETAPP!A$1:A$32,0))&amp;INDEX(ETAPP!B$1:B$32,MATCH(COUNTIF(P35:AB35,PIV!A$17),ETAPP!A$1:A$32,0))&amp;INDEX(ETAPP!B$1:B$32,MATCH(COUNTIF(P35:AB35,PIV!A$18),ETAPP!A$1:A$32,0))&amp;INDEX(ETAPP!B$1:B$32,MATCH(COUNTIF(P35:AB35,PIV!A$19),ETAPP!A$1:A$32,0))</f>
        <v>A00A00000000000000F</v>
      </c>
      <c r="K35" s="164" t="str">
        <f t="shared" si="2"/>
        <v>066,0-A00A00000000000000F</v>
      </c>
      <c r="L35" s="127">
        <f>COUNTIF(K$8:K$53,"&gt;="&amp;K35)</f>
        <v>28</v>
      </c>
      <c r="M35" s="127">
        <f>COUNTIF(F$8:F$53,"&gt;="&amp;F35)</f>
        <v>26</v>
      </c>
      <c r="N35" s="164" t="str">
        <f t="shared" si="3"/>
        <v>066,0-A00A00000000000000F-026</v>
      </c>
      <c r="O35" s="844">
        <f>COUNTIF(N$8:N$53,"&lt;="&amp;N35)</f>
        <v>19</v>
      </c>
      <c r="P35" s="128" t="str">
        <f>IFERROR(INDEX('1'!C$300:C$400,MATCH("*"&amp;F35&amp;"*",'1'!B$300:B$400,0)),"  ")</f>
        <v xml:space="preserve">  </v>
      </c>
      <c r="Q35" s="129" t="str">
        <f>IFERROR(INDEX('2'!C$300:C$400,MATCH("*"&amp;F35&amp;"*",'2'!B$300:B$400,0)),"  ")</f>
        <v xml:space="preserve">  </v>
      </c>
      <c r="R35" s="129" t="str">
        <f>IFERROR(INDEX('3'!C$300:C$400,MATCH("*"&amp;F35&amp;"*",'3'!B$300:B$400,0)),"  ")</f>
        <v xml:space="preserve">  </v>
      </c>
      <c r="S35" s="129" t="str">
        <f>IFERROR(INDEX('4'!C$300:C$400,MATCH("*"&amp;F35&amp;"*",'4'!B$300:B$400,0)),"  ")</f>
        <v xml:space="preserve">  </v>
      </c>
      <c r="T35" s="129" t="str">
        <f>IFERROR(INDEX('5'!C$300:C$400,MATCH("*"&amp;F35&amp;"*",'5'!B$300:B$400,0)),"  ")</f>
        <v xml:space="preserve">  </v>
      </c>
      <c r="U35" s="129" t="str">
        <f>IFERROR(INDEX('6'!C$300:C$400,MATCH("*"&amp;F35&amp;"*",'6'!B$300:B$400,0)),"  ")</f>
        <v xml:space="preserve">  </v>
      </c>
      <c r="V35" s="129" t="str">
        <f>IFERROR(INDEX('7'!C$300:C$400,MATCH("*"&amp;F35&amp;"*",'7'!B$300:B$400,0)),"  ")</f>
        <v xml:space="preserve">  </v>
      </c>
      <c r="W35" s="129" t="str">
        <f>IFERROR(INDEX('8'!C$300:C$400,MATCH("*"&amp;F35&amp;"*",'8'!B$300:B$400,0)),"  ")</f>
        <v xml:space="preserve">  </v>
      </c>
      <c r="X35" s="129">
        <f>IFERROR(INDEX('9'!C$300:C$400,MATCH("*"&amp;F35&amp;"*",'9'!B$300:B$400,0)),"  ")</f>
        <v>40</v>
      </c>
      <c r="Y35" s="129" t="str">
        <f>IFERROR(INDEX('10'!C$300:C$400,MATCH("*"&amp;F35&amp;"*",'10'!B$300:B$400,0)),"  ")</f>
        <v xml:space="preserve">  </v>
      </c>
      <c r="Z35" s="128">
        <f>IFERROR(INDEX('11'!C$300:C$400,MATCH("*"&amp;F35&amp;"*",'11'!B$300:B$400,0)),"  ")</f>
        <v>26</v>
      </c>
      <c r="AA35" s="129" t="str">
        <f>IFERROR(INDEX('12'!C$300:C$400,MATCH("*"&amp;F35&amp;"*",'12'!B$300:B$400,0)),"  ")</f>
        <v xml:space="preserve">  </v>
      </c>
      <c r="AB35" s="129" t="str">
        <f>IFERROR(INDEX('13'!C$300:C$400,MATCH("*"&amp;F35&amp;"*",'13'!B$300:B$400,0)),"  ")</f>
        <v xml:space="preserve">  </v>
      </c>
      <c r="AC35" s="130">
        <f t="shared" si="4"/>
        <v>2</v>
      </c>
      <c r="AD35" s="130">
        <f t="shared" si="5"/>
        <v>1</v>
      </c>
      <c r="AE35" s="130">
        <f t="shared" si="6"/>
        <v>1</v>
      </c>
      <c r="AF35" s="1346">
        <f t="shared" si="7"/>
        <v>1E-4</v>
      </c>
      <c r="AG35" s="1346">
        <f t="shared" si="8"/>
        <v>2.0000000000000001E-4</v>
      </c>
      <c r="AH35" s="1346">
        <f t="shared" si="9"/>
        <v>2.9999999999999997E-4</v>
      </c>
      <c r="AI35" s="1346">
        <f t="shared" si="10"/>
        <v>5.0000000000000001E-4</v>
      </c>
    </row>
    <row r="36" spans="1:35" s="134" customFormat="1" ht="12.75" customHeight="1" x14ac:dyDescent="0.2">
      <c r="A36" s="978" t="str">
        <f>IF(B36="","",COUNTIF(B$8:B$53,"&gt;="&amp;B36))</f>
        <v/>
      </c>
      <c r="B36" s="165" t="str">
        <f t="shared" si="0"/>
        <v/>
      </c>
      <c r="C36" s="1016" t="str">
        <f>IF(D36="","",COUNTIF(D$8:D$53,"&gt;="&amp;D36))</f>
        <v/>
      </c>
      <c r="D36" s="168" t="str">
        <f t="shared" si="1"/>
        <v/>
      </c>
      <c r="E36" s="1314">
        <f>RANK(L36,L$8:L$53,1)</f>
        <v>29</v>
      </c>
      <c r="F36" s="183" t="s">
        <v>207</v>
      </c>
      <c r="G36" s="149"/>
      <c r="H36" s="150"/>
      <c r="I36" s="1379">
        <f>(IF(COUNT(R36,T36,W36,Y36,AB36)&lt;3,SUM(R36,T36,W36,Y36,AB36),SUM(LARGE((R36,T36,W36,Y36,AB36),{1;2;3}))))+(IF(COUNT(Q36,U36,X36,Z36)&lt;3,SUM(Q36,U36,X36,Z36),SUM(LARGE((Q36,U36,X36,Z36),{1;2;3}))))+(IF(COUNT(P36,S36,V36,AA36)&lt;3,SUM(P36,S36,V36,AA36),SUM(LARGE((P36,S36,V36,AA36),{1;2;3}))))</f>
        <v>64</v>
      </c>
      <c r="J36" s="164" t="str">
        <f>INDEX(ETAPP!B$1:B$32,MATCH(COUNTIF(P36:AB36,PIV!A$1),ETAPP!A$1:A$32,0))&amp;INDEX(ETAPP!B$1:B$32,MATCH(COUNTIF(P36:AB36,PIV!A$2),ETAPP!A$1:A$32,0))&amp;INDEX(ETAPP!B$1:B$32,MATCH(COUNTIF(P36:AB36,PIV!A$3),ETAPP!A$1:A$32,0))&amp;INDEX(ETAPP!B$1:B$32,MATCH(COUNTIF(P36:AB36,PIV!A$4),ETAPP!A$1:A$32,0))&amp;INDEX(ETAPP!B$1:B$32,MATCH(COUNTIF(P36:AB36,PIV!A$5),ETAPP!A$1:A$32,0))&amp;INDEX(ETAPP!B$1:B$32,MATCH(COUNTIF(P36:AB36,PIV!A$6),ETAPP!A$1:A$32,0))&amp;INDEX(ETAPP!B$1:B$32,MATCH(COUNTIF(P36:AB36,PIV!A$7),ETAPP!A$1:A$32,0))&amp;INDEX(ETAPP!B$1:B$32,MATCH(COUNTIF(P36:AB36,PIV!A$8),ETAPP!A$1:A$32,0))&amp;INDEX(ETAPP!B$1:B$32,MATCH(COUNTIF(P36:AB36,PIV!A$9),ETAPP!A$1:A$32,0))&amp;INDEX(ETAPP!B$1:B$32,MATCH(COUNTIF(P36:AB36,PIV!A$10),ETAPP!A$1:A$32,0))&amp;INDEX(ETAPP!B$1:B$32,MATCH(COUNTIF(P36:AB36,PIV!A$11),ETAPP!A$1:A$32,0))&amp;INDEX(ETAPP!B$1:B$32,MATCH(COUNTIF(P36:AB36,PIV!A$12),ETAPP!A$1:A$32,0))&amp;INDEX(ETAPP!B$1:B$32,MATCH(COUNTIF(P36:AB36,PIV!A$13),ETAPP!A$1:A$32,0))&amp;INDEX(ETAPP!B$1:B$32,MATCH(COUNTIF(P36:AB36,PIV!A$14),ETAPP!A$1:A$32,0))&amp;INDEX(ETAPP!B$1:B$32,MATCH(COUNTIF(P36:AB36,PIV!A$15),ETAPP!A$1:A$32,0))&amp;INDEX(ETAPP!B$1:B$32,MATCH(COUNTIF(P36:AB36,PIV!A$16),ETAPP!A$1:A$32,0))&amp;INDEX(ETAPP!B$1:B$32,MATCH(COUNTIF(P36:AB36,PIV!A$17),ETAPP!A$1:A$32,0))&amp;INDEX(ETAPP!B$1:B$32,MATCH(COUNTIF(P36:AB36,PIV!A$18),ETAPP!A$1:A$32,0))&amp;INDEX(ETAPP!B$1:B$32,MATCH(COUNTIF(P36:AB36,PIV!A$19),ETAPP!A$1:A$32,0))</f>
        <v>000A00AA0000000000E</v>
      </c>
      <c r="K36" s="164" t="str">
        <f t="shared" si="2"/>
        <v>064,0-000A00AA0000000000E</v>
      </c>
      <c r="L36" s="127">
        <f>COUNTIF(K$8:K$53,"&gt;="&amp;K36)</f>
        <v>29</v>
      </c>
      <c r="M36" s="127">
        <f>COUNTIF(F$8:F$53,"&gt;="&amp;F36)</f>
        <v>6</v>
      </c>
      <c r="N36" s="164" t="str">
        <f t="shared" si="3"/>
        <v>064,0-000A00AA0000000000E-006</v>
      </c>
      <c r="O36" s="844">
        <f>COUNTIF(N$8:N$53,"&lt;="&amp;N36)</f>
        <v>18</v>
      </c>
      <c r="P36" s="128" t="str">
        <f>IFERROR(INDEX('1'!C$300:C$400,MATCH("*"&amp;F36&amp;"*",'1'!B$300:B$400,0)),"  ")</f>
        <v xml:space="preserve">  </v>
      </c>
      <c r="Q36" s="129" t="str">
        <f>IFERROR(INDEX('2'!C$300:C$400,MATCH("*"&amp;F36&amp;"*",'2'!B$300:B$400,0)),"  ")</f>
        <v xml:space="preserve">  </v>
      </c>
      <c r="R36" s="129" t="str">
        <f>IFERROR(INDEX('3'!C$300:C$400,MATCH("*"&amp;F36&amp;"*",'3'!B$300:B$400,0)),"  ")</f>
        <v xml:space="preserve">  </v>
      </c>
      <c r="S36" s="129">
        <f>IFERROR(INDEX('4'!C$300:C$400,MATCH("*"&amp;F36&amp;"*",'4'!B$300:B$400,0)),"  ")</f>
        <v>26</v>
      </c>
      <c r="T36" s="129" t="str">
        <f>IFERROR(INDEX('5'!C$300:C$400,MATCH("*"&amp;F36&amp;"*",'5'!B$300:B$400,0)),"  ")</f>
        <v xml:space="preserve">  </v>
      </c>
      <c r="U36" s="129" t="str">
        <f>IFERROR(INDEX('6'!C$300:C$400,MATCH("*"&amp;F36&amp;"*",'6'!B$300:B$400,0)),"  ")</f>
        <v xml:space="preserve">  </v>
      </c>
      <c r="V36" s="129">
        <f>IFERROR(INDEX('7'!C$300:C$400,MATCH("*"&amp;F36&amp;"*",'7'!B$300:B$400,0)),"  ")</f>
        <v>20</v>
      </c>
      <c r="W36" s="129" t="str">
        <f>IFERROR(INDEX('8'!C$300:C$400,MATCH("*"&amp;F36&amp;"*",'8'!B$300:B$400,0)),"  ")</f>
        <v xml:space="preserve">  </v>
      </c>
      <c r="X36" s="129" t="str">
        <f>IFERROR(INDEX('9'!C$300:C$400,MATCH("*"&amp;F36&amp;"*",'9'!B$300:B$400,0)),"  ")</f>
        <v xml:space="preserve">  </v>
      </c>
      <c r="Y36" s="129" t="str">
        <f>IFERROR(INDEX('10'!C$300:C$400,MATCH("*"&amp;F36&amp;"*",'10'!B$300:B$400,0)),"  ")</f>
        <v xml:space="preserve">  </v>
      </c>
      <c r="Z36" s="128">
        <f>IFERROR(INDEX('11'!C$300:C$400,MATCH("*"&amp;F36&amp;"*",'11'!B$300:B$400,0)),"  ")</f>
        <v>18</v>
      </c>
      <c r="AA36" s="129" t="str">
        <f>IFERROR(INDEX('12'!C$300:C$400,MATCH("*"&amp;F36&amp;"*",'12'!B$300:B$400,0)),"  ")</f>
        <v xml:space="preserve">  </v>
      </c>
      <c r="AB36" s="129" t="str">
        <f>IFERROR(INDEX('13'!C$300:C$400,MATCH("*"&amp;F36&amp;"*",'13'!B$300:B$400,0)),"  ")</f>
        <v xml:space="preserve">  </v>
      </c>
      <c r="AC36" s="130">
        <f t="shared" si="4"/>
        <v>3</v>
      </c>
      <c r="AD36" s="130">
        <f t="shared" si="5"/>
        <v>0</v>
      </c>
      <c r="AE36" s="130">
        <f t="shared" si="6"/>
        <v>0</v>
      </c>
      <c r="AF36" s="1346">
        <f t="shared" si="7"/>
        <v>1E-4</v>
      </c>
      <c r="AG36" s="1346">
        <f t="shared" si="8"/>
        <v>2.0000000000000001E-4</v>
      </c>
      <c r="AH36" s="1346">
        <f t="shared" si="9"/>
        <v>2.9999999999999997E-4</v>
      </c>
      <c r="AI36" s="1346">
        <f t="shared" si="10"/>
        <v>5.0000000000000001E-4</v>
      </c>
    </row>
    <row r="37" spans="1:35" ht="12.75" customHeight="1" x14ac:dyDescent="0.2">
      <c r="A37" s="978" t="str">
        <f>IF(B37="","",COUNTIF(B$8:B$53,"&gt;="&amp;B37))</f>
        <v/>
      </c>
      <c r="B37" s="165" t="str">
        <f t="shared" si="0"/>
        <v/>
      </c>
      <c r="C37" s="1016" t="str">
        <f>IF(D37="","",COUNTIF(D$8:D$53,"&gt;="&amp;D37))</f>
        <v/>
      </c>
      <c r="D37" s="168" t="str">
        <f t="shared" si="1"/>
        <v/>
      </c>
      <c r="E37" s="1314">
        <f>RANK(L37,L$8:L$53,1)</f>
        <v>30</v>
      </c>
      <c r="F37" s="30" t="s">
        <v>97</v>
      </c>
      <c r="G37" s="149"/>
      <c r="H37" s="150"/>
      <c r="I37" s="1379">
        <f>(IF(COUNT(R37,T37,W37,Y37,AB37)&lt;3,SUM(R37,T37,W37,Y37,AB37),SUM(LARGE((R37,T37,W37,Y37,AB37),{1;2;3}))))+(IF(COUNT(Q37,U37,X37,Z37)&lt;3,SUM(Q37,U37,X37,Z37),SUM(LARGE((Q37,U37,X37,Z37),{1;2;3}))))+(IF(COUNT(P37,S37,V37,AA37)&lt;3,SUM(P37,S37,V37,AA37),SUM(LARGE((P37,S37,V37,AA37),{1;2;3}))))</f>
        <v>62</v>
      </c>
      <c r="J37" s="164" t="str">
        <f>INDEX(ETAPP!B$1:B$32,MATCH(COUNTIF(P37:AB37,PIV!A$1),ETAPP!A$1:A$32,0))&amp;INDEX(ETAPP!B$1:B$32,MATCH(COUNTIF(P37:AB37,PIV!A$2),ETAPP!A$1:A$32,0))&amp;INDEX(ETAPP!B$1:B$32,MATCH(COUNTIF(P37:AB37,PIV!A$3),ETAPP!A$1:A$32,0))&amp;INDEX(ETAPP!B$1:B$32,MATCH(COUNTIF(P37:AB37,PIV!A$4),ETAPP!A$1:A$32,0))&amp;INDEX(ETAPP!B$1:B$32,MATCH(COUNTIF(P37:AB37,PIV!A$5),ETAPP!A$1:A$32,0))&amp;INDEX(ETAPP!B$1:B$32,MATCH(COUNTIF(P37:AB37,PIV!A$6),ETAPP!A$1:A$32,0))&amp;INDEX(ETAPP!B$1:B$32,MATCH(COUNTIF(P37:AB37,PIV!A$7),ETAPP!A$1:A$32,0))&amp;INDEX(ETAPP!B$1:B$32,MATCH(COUNTIF(P37:AB37,PIV!A$8),ETAPP!A$1:A$32,0))&amp;INDEX(ETAPP!B$1:B$32,MATCH(COUNTIF(P37:AB37,PIV!A$9),ETAPP!A$1:A$32,0))&amp;INDEX(ETAPP!B$1:B$32,MATCH(COUNTIF(P37:AB37,PIV!A$10),ETAPP!A$1:A$32,0))&amp;INDEX(ETAPP!B$1:B$32,MATCH(COUNTIF(P37:AB37,PIV!A$11),ETAPP!A$1:A$32,0))&amp;INDEX(ETAPP!B$1:B$32,MATCH(COUNTIF(P37:AB37,PIV!A$12),ETAPP!A$1:A$32,0))&amp;INDEX(ETAPP!B$1:B$32,MATCH(COUNTIF(P37:AB37,PIV!A$13),ETAPP!A$1:A$32,0))&amp;INDEX(ETAPP!B$1:B$32,MATCH(COUNTIF(P37:AB37,PIV!A$14),ETAPP!A$1:A$32,0))&amp;INDEX(ETAPP!B$1:B$32,MATCH(COUNTIF(P37:AB37,PIV!A$15),ETAPP!A$1:A$32,0))&amp;INDEX(ETAPP!B$1:B$32,MATCH(COUNTIF(P37:AB37,PIV!A$16),ETAPP!A$1:A$32,0))&amp;INDEX(ETAPP!B$1:B$32,MATCH(COUNTIF(P37:AB37,PIV!A$17),ETAPP!A$1:A$32,0))&amp;INDEX(ETAPP!B$1:B$32,MATCH(COUNTIF(P37:AB37,PIV!A$18),ETAPP!A$1:A$32,0))&amp;INDEX(ETAPP!B$1:B$32,MATCH(COUNTIF(P37:AB37,PIV!A$19),ETAPP!A$1:A$32,0))</f>
        <v>0000AA00A000000000E</v>
      </c>
      <c r="K37" s="164" t="str">
        <f t="shared" si="2"/>
        <v>062,0-0000AA00A000000000E</v>
      </c>
      <c r="L37" s="127">
        <f>COUNTIF(K$8:K$53,"&gt;="&amp;K37)</f>
        <v>30</v>
      </c>
      <c r="M37" s="127">
        <f>COUNTIF(F$8:F$53,"&gt;="&amp;F37)</f>
        <v>43</v>
      </c>
      <c r="N37" s="164" t="str">
        <f t="shared" si="3"/>
        <v>062,0-0000AA00A000000000E-043</v>
      </c>
      <c r="O37" s="844">
        <f>COUNTIF(N$8:N$53,"&lt;="&amp;N37)</f>
        <v>17</v>
      </c>
      <c r="P37" s="128" t="str">
        <f>IFERROR(INDEX('1'!C$300:C$400,MATCH("*"&amp;F37&amp;"*",'1'!B$300:B$400,0)),"  ")</f>
        <v xml:space="preserve">  </v>
      </c>
      <c r="Q37" s="129" t="str">
        <f>IFERROR(INDEX('2'!C$300:C$400,MATCH("*"&amp;F37&amp;"*",'2'!B$300:B$400,0)),"  ")</f>
        <v xml:space="preserve">  </v>
      </c>
      <c r="R37" s="129" t="str">
        <f>IFERROR(INDEX('3'!C$300:C$400,MATCH("*"&amp;F37&amp;"*",'3'!B$300:B$400,0)),"  ")</f>
        <v xml:space="preserve">  </v>
      </c>
      <c r="S37" s="129">
        <f>IFERROR(INDEX('4'!C$300:C$400,MATCH("*"&amp;F37&amp;"*",'4'!B$300:B$400,0)),"  ")</f>
        <v>24</v>
      </c>
      <c r="T37" s="129" t="str">
        <f>IFERROR(INDEX('5'!C$300:C$400,MATCH("*"&amp;F37&amp;"*",'5'!B$300:B$400,0)),"  ")</f>
        <v xml:space="preserve">  </v>
      </c>
      <c r="U37" s="129" t="str">
        <f>IFERROR(INDEX('6'!C$300:C$400,MATCH("*"&amp;F37&amp;"*",'6'!B$300:B$400,0)),"  ")</f>
        <v xml:space="preserve">  </v>
      </c>
      <c r="V37" s="129" t="str">
        <f>IFERROR(INDEX('7'!C$300:C$400,MATCH("*"&amp;F37&amp;"*",'7'!B$300:B$400,0)),"  ")</f>
        <v xml:space="preserve">  </v>
      </c>
      <c r="W37" s="129">
        <f>IFERROR(INDEX('8'!C$300:C$400,MATCH("*"&amp;F37&amp;"*",'8'!B$300:B$400,0)),"  ")</f>
        <v>22</v>
      </c>
      <c r="X37" s="129" t="str">
        <f>IFERROR(INDEX('9'!C$300:C$400,MATCH("*"&amp;F37&amp;"*",'9'!B$300:B$400,0)),"  ")</f>
        <v xml:space="preserve">  </v>
      </c>
      <c r="Y37" s="129" t="str">
        <f>IFERROR(INDEX('10'!C$300:C$400,MATCH("*"&amp;F37&amp;"*",'10'!B$300:B$400,0)),"  ")</f>
        <v xml:space="preserve">  </v>
      </c>
      <c r="Z37" s="128" t="str">
        <f>IFERROR(INDEX('11'!C$300:C$400,MATCH("*"&amp;F37&amp;"*",'11'!B$300:B$400,0)),"  ")</f>
        <v xml:space="preserve">  </v>
      </c>
      <c r="AA37" s="129" t="str">
        <f>IFERROR(INDEX('12'!C$300:C$400,MATCH("*"&amp;F37&amp;"*",'12'!B$300:B$400,0)),"  ")</f>
        <v xml:space="preserve">  </v>
      </c>
      <c r="AB37" s="129">
        <f>IFERROR(INDEX('13'!C$300:C$400,MATCH("*"&amp;F37&amp;"*",'13'!B$300:B$400,0)),"  ")</f>
        <v>16</v>
      </c>
      <c r="AC37" s="130">
        <f t="shared" si="4"/>
        <v>3</v>
      </c>
      <c r="AD37" s="130">
        <f t="shared" si="5"/>
        <v>0</v>
      </c>
      <c r="AE37" s="130">
        <f t="shared" si="6"/>
        <v>0</v>
      </c>
      <c r="AF37" s="1346">
        <f t="shared" si="7"/>
        <v>1E-4</v>
      </c>
      <c r="AG37" s="1346">
        <f t="shared" si="8"/>
        <v>2.0000000000000001E-4</v>
      </c>
      <c r="AH37" s="1346">
        <f t="shared" si="9"/>
        <v>2.9999999999999997E-4</v>
      </c>
      <c r="AI37" s="1346">
        <f t="shared" si="10"/>
        <v>5.0000000000000001E-4</v>
      </c>
    </row>
    <row r="38" spans="1:35" ht="12.75" customHeight="1" x14ac:dyDescent="0.2">
      <c r="A38" s="978" t="str">
        <f>IF(B38="","",COUNTIF(B$8:B$53,"&gt;="&amp;B38))</f>
        <v/>
      </c>
      <c r="B38" s="165" t="str">
        <f t="shared" si="0"/>
        <v/>
      </c>
      <c r="C38" s="1016" t="str">
        <f>IF(D38="","",COUNTIF(D$8:D$53,"&gt;="&amp;D38))</f>
        <v/>
      </c>
      <c r="D38" s="168" t="str">
        <f t="shared" si="1"/>
        <v/>
      </c>
      <c r="E38" s="1314">
        <f>RANK(L38,L$8:L$53,1)</f>
        <v>31</v>
      </c>
      <c r="F38" s="30" t="s">
        <v>118</v>
      </c>
      <c r="G38" s="149"/>
      <c r="H38" s="150"/>
      <c r="I38" s="1379">
        <f>(IF(COUNT(R38,T38,W38,Y38,AB38)&lt;3,SUM(R38,T38,W38,Y38,AB38),SUM(LARGE((R38,T38,W38,Y38,AB38),{1;2;3}))))+(IF(COUNT(Q38,U38,X38,Z38)&lt;3,SUM(Q38,U38,X38,Z38),SUM(LARGE((Q38,U38,X38,Z38),{1;2;3}))))+(IF(COUNT(P38,S38,V38,AA38)&lt;3,SUM(P38,S38,V38,AA38),SUM(LARGE((P38,S38,V38,AA38),{1;2;3}))))</f>
        <v>47</v>
      </c>
      <c r="J38" s="164" t="str">
        <f>INDEX(ETAPP!B$1:B$32,MATCH(COUNTIF(P38:AB38,PIV!A$1),ETAPP!A$1:A$32,0))&amp;INDEX(ETAPP!B$1:B$32,MATCH(COUNTIF(P38:AB38,PIV!A$2),ETAPP!A$1:A$32,0))&amp;INDEX(ETAPP!B$1:B$32,MATCH(COUNTIF(P38:AB38,PIV!A$3),ETAPP!A$1:A$32,0))&amp;INDEX(ETAPP!B$1:B$32,MATCH(COUNTIF(P38:AB38,PIV!A$4),ETAPP!A$1:A$32,0))&amp;INDEX(ETAPP!B$1:B$32,MATCH(COUNTIF(P38:AB38,PIV!A$5),ETAPP!A$1:A$32,0))&amp;INDEX(ETAPP!B$1:B$32,MATCH(COUNTIF(P38:AB38,PIV!A$6),ETAPP!A$1:A$32,0))&amp;INDEX(ETAPP!B$1:B$32,MATCH(COUNTIF(P38:AB38,PIV!A$7),ETAPP!A$1:A$32,0))&amp;INDEX(ETAPP!B$1:B$32,MATCH(COUNTIF(P38:AB38,PIV!A$8),ETAPP!A$1:A$32,0))&amp;INDEX(ETAPP!B$1:B$32,MATCH(COUNTIF(P38:AB38,PIV!A$9),ETAPP!A$1:A$32,0))&amp;INDEX(ETAPP!B$1:B$32,MATCH(COUNTIF(P38:AB38,PIV!A$10),ETAPP!A$1:A$32,0))&amp;INDEX(ETAPP!B$1:B$32,MATCH(COUNTIF(P38:AB38,PIV!A$11),ETAPP!A$1:A$32,0))&amp;INDEX(ETAPP!B$1:B$32,MATCH(COUNTIF(P38:AB38,PIV!A$12),ETAPP!A$1:A$32,0))&amp;INDEX(ETAPP!B$1:B$32,MATCH(COUNTIF(P38:AB38,PIV!A$13),ETAPP!A$1:A$32,0))&amp;INDEX(ETAPP!B$1:B$32,MATCH(COUNTIF(P38:AB38,PIV!A$14),ETAPP!A$1:A$32,0))&amp;INDEX(ETAPP!B$1:B$32,MATCH(COUNTIF(P38:AB38,PIV!A$15),ETAPP!A$1:A$32,0))&amp;INDEX(ETAPP!B$1:B$32,MATCH(COUNTIF(P38:AB38,PIV!A$16),ETAPP!A$1:A$32,0))&amp;INDEX(ETAPP!B$1:B$32,MATCH(COUNTIF(P38:AB38,PIV!A$17),ETAPP!A$1:A$32,0))&amp;INDEX(ETAPP!B$1:B$32,MATCH(COUNTIF(P38:AB38,PIV!A$18),ETAPP!A$1:A$32,0))&amp;INDEX(ETAPP!B$1:B$32,MATCH(COUNTIF(P38:AB38,PIV!A$19),ETAPP!A$1:A$32,0))</f>
        <v>00A00000A0000000A0E</v>
      </c>
      <c r="K38" s="164" t="str">
        <f t="shared" si="2"/>
        <v>047,0-00A00000A0000000A0E</v>
      </c>
      <c r="L38" s="127">
        <f>COUNTIF(K$8:K$53,"&gt;="&amp;K38)</f>
        <v>31</v>
      </c>
      <c r="M38" s="127">
        <f>COUNTIF(F$8:F$53,"&gt;="&amp;F38)</f>
        <v>39</v>
      </c>
      <c r="N38" s="164" t="str">
        <f t="shared" si="3"/>
        <v>047,0-00A00000A0000000A0E-039</v>
      </c>
      <c r="O38" s="844">
        <f>COUNTIF(N$8:N$53,"&lt;="&amp;N38)</f>
        <v>16</v>
      </c>
      <c r="P38" s="128">
        <f>IFERROR(INDEX('1'!C$300:C$400,MATCH("*"&amp;F38&amp;"*",'1'!B$300:B$400,0)),"  ")</f>
        <v>30</v>
      </c>
      <c r="Q38" s="129">
        <f>IFERROR(INDEX('2'!C$300:C$400,MATCH("*"&amp;F38&amp;"*",'2'!B$300:B$400,0)),"  ")</f>
        <v>16</v>
      </c>
      <c r="R38" s="129">
        <f>IFERROR(INDEX('3'!C$300:C$400,MATCH("*"&amp;F38&amp;"*",'3'!B$300:B$400,0)),"  ")</f>
        <v>1</v>
      </c>
      <c r="S38" s="129" t="str">
        <f>IFERROR(INDEX('4'!C$300:C$400,MATCH("*"&amp;F38&amp;"*",'4'!B$300:B$400,0)),"  ")</f>
        <v xml:space="preserve">  </v>
      </c>
      <c r="T38" s="129" t="str">
        <f>IFERROR(INDEX('5'!C$300:C$400,MATCH("*"&amp;F38&amp;"*",'5'!B$300:B$400,0)),"  ")</f>
        <v xml:space="preserve">  </v>
      </c>
      <c r="U38" s="129" t="str">
        <f>IFERROR(INDEX('6'!C$300:C$400,MATCH("*"&amp;F38&amp;"*",'6'!B$300:B$400,0)),"  ")</f>
        <v xml:space="preserve">  </v>
      </c>
      <c r="V38" s="129" t="str">
        <f>IFERROR(INDEX('7'!C$300:C$400,MATCH("*"&amp;F38&amp;"*",'7'!B$300:B$400,0)),"  ")</f>
        <v xml:space="preserve">  </v>
      </c>
      <c r="W38" s="129" t="str">
        <f>IFERROR(INDEX('8'!C$300:C$400,MATCH("*"&amp;F38&amp;"*",'8'!B$300:B$400,0)),"  ")</f>
        <v xml:space="preserve">  </v>
      </c>
      <c r="X38" s="129" t="str">
        <f>IFERROR(INDEX('9'!C$300:C$400,MATCH("*"&amp;F38&amp;"*",'9'!B$300:B$400,0)),"  ")</f>
        <v xml:space="preserve">  </v>
      </c>
      <c r="Y38" s="129" t="str">
        <f>IFERROR(INDEX('10'!C$300:C$400,MATCH("*"&amp;F38&amp;"*",'10'!B$300:B$400,0)),"  ")</f>
        <v xml:space="preserve">  </v>
      </c>
      <c r="Z38" s="128" t="str">
        <f>IFERROR(INDEX('11'!C$300:C$400,MATCH("*"&amp;F38&amp;"*",'11'!B$300:B$400,0)),"  ")</f>
        <v xml:space="preserve">  </v>
      </c>
      <c r="AA38" s="129" t="str">
        <f>IFERROR(INDEX('12'!C$300:C$400,MATCH("*"&amp;F38&amp;"*",'12'!B$300:B$400,0)),"  ")</f>
        <v xml:space="preserve">  </v>
      </c>
      <c r="AB38" s="129" t="str">
        <f>IFERROR(INDEX('13'!C$300:C$400,MATCH("*"&amp;F38&amp;"*",'13'!B$300:B$400,0)),"  ")</f>
        <v xml:space="preserve">  </v>
      </c>
      <c r="AC38" s="130">
        <f t="shared" si="4"/>
        <v>3</v>
      </c>
      <c r="AD38" s="130">
        <f t="shared" si="5"/>
        <v>1</v>
      </c>
      <c r="AE38" s="130">
        <f t="shared" si="6"/>
        <v>0</v>
      </c>
      <c r="AF38" s="1346">
        <f t="shared" si="7"/>
        <v>4.0000000000000002E-4</v>
      </c>
      <c r="AG38" s="1346">
        <f t="shared" si="8"/>
        <v>5.9999999999999995E-4</v>
      </c>
      <c r="AH38" s="1346">
        <f t="shared" si="9"/>
        <v>5.0000000000000001E-4</v>
      </c>
      <c r="AI38" s="1346">
        <f t="shared" si="10"/>
        <v>8.0000000000000004E-4</v>
      </c>
    </row>
    <row r="39" spans="1:35" ht="12.75" customHeight="1" x14ac:dyDescent="0.2">
      <c r="A39" s="978">
        <f>IF(B39="","",COUNTIF(B$8:B$53,"&gt;="&amp;B39))</f>
        <v>4</v>
      </c>
      <c r="B39" s="165" t="str">
        <f t="shared" si="0"/>
        <v>042,0-0000A00A0000000000F</v>
      </c>
      <c r="C39" s="1016" t="str">
        <f>IF(D39="","",COUNTIF(D$8:D$53,"&gt;="&amp;D39))</f>
        <v/>
      </c>
      <c r="D39" s="168" t="str">
        <f t="shared" si="1"/>
        <v/>
      </c>
      <c r="E39" s="1314">
        <f>RANK(L39,L$8:L$53,1)</f>
        <v>32</v>
      </c>
      <c r="F39" s="133" t="s">
        <v>104</v>
      </c>
      <c r="G39" s="149" t="s">
        <v>137</v>
      </c>
      <c r="H39" s="150"/>
      <c r="I39" s="1379">
        <f>(IF(COUNT(R39,T39,W39,Y39,AB39)&lt;3,SUM(R39,T39,W39,Y39,AB39),SUM(LARGE((R39,T39,W39,Y39,AB39),{1;2;3}))))+(IF(COUNT(Q39,U39,X39,Z39)&lt;3,SUM(Q39,U39,X39,Z39),SUM(LARGE((Q39,U39,X39,Z39),{1;2;3}))))+(IF(COUNT(P39,S39,V39,AA39)&lt;3,SUM(P39,S39,V39,AA39),SUM(LARGE((P39,S39,V39,AA39),{1;2;3}))))</f>
        <v>42</v>
      </c>
      <c r="J39" s="164" t="str">
        <f>INDEX(ETAPP!B$1:B$32,MATCH(COUNTIF(P39:AB39,PIV!A$1),ETAPP!A$1:A$32,0))&amp;INDEX(ETAPP!B$1:B$32,MATCH(COUNTIF(P39:AB39,PIV!A$2),ETAPP!A$1:A$32,0))&amp;INDEX(ETAPP!B$1:B$32,MATCH(COUNTIF(P39:AB39,PIV!A$3),ETAPP!A$1:A$32,0))&amp;INDEX(ETAPP!B$1:B$32,MATCH(COUNTIF(P39:AB39,PIV!A$4),ETAPP!A$1:A$32,0))&amp;INDEX(ETAPP!B$1:B$32,MATCH(COUNTIF(P39:AB39,PIV!A$5),ETAPP!A$1:A$32,0))&amp;INDEX(ETAPP!B$1:B$32,MATCH(COUNTIF(P39:AB39,PIV!A$6),ETAPP!A$1:A$32,0))&amp;INDEX(ETAPP!B$1:B$32,MATCH(COUNTIF(P39:AB39,PIV!A$7),ETAPP!A$1:A$32,0))&amp;INDEX(ETAPP!B$1:B$32,MATCH(COUNTIF(P39:AB39,PIV!A$8),ETAPP!A$1:A$32,0))&amp;INDEX(ETAPP!B$1:B$32,MATCH(COUNTIF(P39:AB39,PIV!A$9),ETAPP!A$1:A$32,0))&amp;INDEX(ETAPP!B$1:B$32,MATCH(COUNTIF(P39:AB39,PIV!A$10),ETAPP!A$1:A$32,0))&amp;INDEX(ETAPP!B$1:B$32,MATCH(COUNTIF(P39:AB39,PIV!A$11),ETAPP!A$1:A$32,0))&amp;INDEX(ETAPP!B$1:B$32,MATCH(COUNTIF(P39:AB39,PIV!A$12),ETAPP!A$1:A$32,0))&amp;INDEX(ETAPP!B$1:B$32,MATCH(COUNTIF(P39:AB39,PIV!A$13),ETAPP!A$1:A$32,0))&amp;INDEX(ETAPP!B$1:B$32,MATCH(COUNTIF(P39:AB39,PIV!A$14),ETAPP!A$1:A$32,0))&amp;INDEX(ETAPP!B$1:B$32,MATCH(COUNTIF(P39:AB39,PIV!A$15),ETAPP!A$1:A$32,0))&amp;INDEX(ETAPP!B$1:B$32,MATCH(COUNTIF(P39:AB39,PIV!A$16),ETAPP!A$1:A$32,0))&amp;INDEX(ETAPP!B$1:B$32,MATCH(COUNTIF(P39:AB39,PIV!A$17),ETAPP!A$1:A$32,0))&amp;INDEX(ETAPP!B$1:B$32,MATCH(COUNTIF(P39:AB39,PIV!A$18),ETAPP!A$1:A$32,0))&amp;INDEX(ETAPP!B$1:B$32,MATCH(COUNTIF(P39:AB39,PIV!A$19),ETAPP!A$1:A$32,0))</f>
        <v>0000A00A0000000000F</v>
      </c>
      <c r="K39" s="164" t="str">
        <f t="shared" si="2"/>
        <v>042,0-0000A00A0000000000F</v>
      </c>
      <c r="L39" s="127">
        <f>COUNTIF(K$8:K$53,"&gt;="&amp;K39)</f>
        <v>32</v>
      </c>
      <c r="M39" s="127">
        <f>COUNTIF(F$8:F$53,"&gt;="&amp;F39)</f>
        <v>11</v>
      </c>
      <c r="N39" s="164" t="str">
        <f t="shared" si="3"/>
        <v>042,0-0000A00A0000000000F-011</v>
      </c>
      <c r="O39" s="844">
        <f>COUNTIF(N$8:N$53,"&lt;="&amp;N39)</f>
        <v>15</v>
      </c>
      <c r="P39" s="128" t="str">
        <f>IFERROR(INDEX('1'!C$300:C$400,MATCH("*"&amp;F39&amp;"*",'1'!B$300:B$400,0)),"  ")</f>
        <v xml:space="preserve">  </v>
      </c>
      <c r="Q39" s="129" t="str">
        <f>IFERROR(INDEX('2'!C$300:C$400,MATCH("*"&amp;F39&amp;"*",'2'!B$300:B$400,0)),"  ")</f>
        <v xml:space="preserve">  </v>
      </c>
      <c r="R39" s="129" t="str">
        <f>IFERROR(INDEX('3'!C$300:C$400,MATCH("*"&amp;F39&amp;"*",'3'!B$300:B$400,0)),"  ")</f>
        <v xml:space="preserve">  </v>
      </c>
      <c r="S39" s="129">
        <f>IFERROR(INDEX('4'!C$300:C$400,MATCH("*"&amp;F39&amp;"*",'4'!B$300:B$400,0)),"  ")</f>
        <v>24</v>
      </c>
      <c r="T39" s="129" t="str">
        <f>IFERROR(INDEX('5'!C$300:C$400,MATCH("*"&amp;F39&amp;"*",'5'!B$300:B$400,0)),"  ")</f>
        <v xml:space="preserve">  </v>
      </c>
      <c r="U39" s="129" t="str">
        <f>IFERROR(INDEX('6'!C$300:C$400,MATCH("*"&amp;F39&amp;"*",'6'!B$300:B$400,0)),"  ")</f>
        <v xml:space="preserve">  </v>
      </c>
      <c r="V39" s="129" t="str">
        <f>IFERROR(INDEX('7'!C$300:C$400,MATCH("*"&amp;F39&amp;"*",'7'!B$300:B$400,0)),"  ")</f>
        <v xml:space="preserve">  </v>
      </c>
      <c r="W39" s="129" t="str">
        <f>IFERROR(INDEX('8'!C$300:C$400,MATCH("*"&amp;F39&amp;"*",'8'!B$300:B$400,0)),"  ")</f>
        <v xml:space="preserve">  </v>
      </c>
      <c r="X39" s="129" t="str">
        <f>IFERROR(INDEX('9'!C$300:C$400,MATCH("*"&amp;F39&amp;"*",'9'!B$300:B$400,0)),"  ")</f>
        <v xml:space="preserve">  </v>
      </c>
      <c r="Y39" s="129" t="str">
        <f>IFERROR(INDEX('10'!C$300:C$400,MATCH("*"&amp;F39&amp;"*",'10'!B$300:B$400,0)),"  ")</f>
        <v xml:space="preserve">  </v>
      </c>
      <c r="Z39" s="128" t="str">
        <f>IFERROR(INDEX('11'!C$300:C$400,MATCH("*"&amp;F39&amp;"*",'11'!B$300:B$400,0)),"  ")</f>
        <v xml:space="preserve">  </v>
      </c>
      <c r="AA39" s="129" t="str">
        <f>IFERROR(INDEX('12'!C$300:C$400,MATCH("*"&amp;F39&amp;"*",'12'!B$300:B$400,0)),"  ")</f>
        <v xml:space="preserve">  </v>
      </c>
      <c r="AB39" s="129">
        <f>IFERROR(INDEX('13'!C$300:C$400,MATCH("*"&amp;F39&amp;"*",'13'!B$300:B$400,0)),"  ")</f>
        <v>18</v>
      </c>
      <c r="AC39" s="130">
        <f t="shared" si="4"/>
        <v>2</v>
      </c>
      <c r="AD39" s="130">
        <f t="shared" si="5"/>
        <v>0</v>
      </c>
      <c r="AE39" s="130">
        <f t="shared" si="6"/>
        <v>0</v>
      </c>
      <c r="AF39" s="1346">
        <f t="shared" si="7"/>
        <v>1E-4</v>
      </c>
      <c r="AG39" s="1346">
        <f t="shared" si="8"/>
        <v>2.0000000000000001E-4</v>
      </c>
      <c r="AH39" s="1346">
        <f t="shared" si="9"/>
        <v>2.9999999999999997E-4</v>
      </c>
      <c r="AI39" s="1346">
        <f t="shared" si="10"/>
        <v>5.0000000000000001E-4</v>
      </c>
    </row>
    <row r="40" spans="1:35" s="134" customFormat="1" ht="12.75" customHeight="1" x14ac:dyDescent="0.2">
      <c r="A40" s="978" t="str">
        <f>IF(B40="","",COUNTIF(B$8:B$53,"&gt;="&amp;B40))</f>
        <v/>
      </c>
      <c r="B40" s="165" t="str">
        <f t="shared" ref="B40:B53" si="11">IF(G40="n",K40,"")</f>
        <v/>
      </c>
      <c r="C40" s="1016" t="str">
        <f>IF(D40="","",COUNTIF(D$8:D$53,"&gt;="&amp;D40))</f>
        <v/>
      </c>
      <c r="D40" s="168" t="str">
        <f t="shared" ref="D40:D53" si="12">IF(H40="j",K40,"")</f>
        <v/>
      </c>
      <c r="E40" s="1314">
        <f>RANK(L40,L$8:L$53,1)</f>
        <v>33</v>
      </c>
      <c r="F40" s="30" t="s">
        <v>119</v>
      </c>
      <c r="G40" s="149"/>
      <c r="H40" s="150"/>
      <c r="I40" s="1379">
        <f>(IF(COUNT(R40,T40,W40,Y40,AB40)&lt;3,SUM(R40,T40,W40,Y40,AB40),SUM(LARGE((R40,T40,W40,Y40,AB40),{1;2;3}))))+(IF(COUNT(Q40,U40,X40,Z40)&lt;3,SUM(Q40,U40,X40,Z40),SUM(LARGE((Q40,U40,X40,Z40),{1;2;3}))))+(IF(COUNT(P40,S40,V40,AA40)&lt;3,SUM(P40,S40,V40,AA40),SUM(LARGE((P40,S40,V40,AA40),{1;2;3}))))</f>
        <v>38</v>
      </c>
      <c r="J40" s="164" t="str">
        <f>INDEX(ETAPP!B$1:B$32,MATCH(COUNTIF(P40:AB40,PIV!A$1),ETAPP!A$1:A$32,0))&amp;INDEX(ETAPP!B$1:B$32,MATCH(COUNTIF(P40:AB40,PIV!A$2),ETAPP!A$1:A$32,0))&amp;INDEX(ETAPP!B$1:B$32,MATCH(COUNTIF(P40:AB40,PIV!A$3),ETAPP!A$1:A$32,0))&amp;INDEX(ETAPP!B$1:B$32,MATCH(COUNTIF(P40:AB40,PIV!A$4),ETAPP!A$1:A$32,0))&amp;INDEX(ETAPP!B$1:B$32,MATCH(COUNTIF(P40:AB40,PIV!A$5),ETAPP!A$1:A$32,0))&amp;INDEX(ETAPP!B$1:B$32,MATCH(COUNTIF(P40:AB40,PIV!A$6),ETAPP!A$1:A$32,0))&amp;INDEX(ETAPP!B$1:B$32,MATCH(COUNTIF(P40:AB40,PIV!A$7),ETAPP!A$1:A$32,0))&amp;INDEX(ETAPP!B$1:B$32,MATCH(COUNTIF(P40:AB40,PIV!A$8),ETAPP!A$1:A$32,0))&amp;INDEX(ETAPP!B$1:B$32,MATCH(COUNTIF(P40:AB40,PIV!A$9),ETAPP!A$1:A$32,0))&amp;INDEX(ETAPP!B$1:B$32,MATCH(COUNTIF(P40:AB40,PIV!A$10),ETAPP!A$1:A$32,0))&amp;INDEX(ETAPP!B$1:B$32,MATCH(COUNTIF(P40:AB40,PIV!A$11),ETAPP!A$1:A$32,0))&amp;INDEX(ETAPP!B$1:B$32,MATCH(COUNTIF(P40:AB40,PIV!A$12),ETAPP!A$1:A$32,0))&amp;INDEX(ETAPP!B$1:B$32,MATCH(COUNTIF(P40:AB40,PIV!A$13),ETAPP!A$1:A$32,0))&amp;INDEX(ETAPP!B$1:B$32,MATCH(COUNTIF(P40:AB40,PIV!A$14),ETAPP!A$1:A$32,0))&amp;INDEX(ETAPP!B$1:B$32,MATCH(COUNTIF(P40:AB40,PIV!A$15),ETAPP!A$1:A$32,0))&amp;INDEX(ETAPP!B$1:B$32,MATCH(COUNTIF(P40:AB40,PIV!A$16),ETAPP!A$1:A$32,0))&amp;INDEX(ETAPP!B$1:B$32,MATCH(COUNTIF(P40:AB40,PIV!A$17),ETAPP!A$1:A$32,0))&amp;INDEX(ETAPP!B$1:B$32,MATCH(COUNTIF(P40:AB40,PIV!A$18),ETAPP!A$1:A$32,0))&amp;INDEX(ETAPP!B$1:B$32,MATCH(COUNTIF(P40:AB40,PIV!A$19),ETAPP!A$1:A$32,0))</f>
        <v>00000A00A000000000F</v>
      </c>
      <c r="K40" s="164" t="str">
        <f t="shared" ref="K40:K53" si="13">TEXT(I40,"000,0")&amp;"-"&amp;J40</f>
        <v>038,0-00000A00A000000000F</v>
      </c>
      <c r="L40" s="127">
        <f>COUNTIF(K$8:K$53,"&gt;="&amp;K40)</f>
        <v>33</v>
      </c>
      <c r="M40" s="127">
        <f>COUNTIF(F$8:F$53,"&gt;="&amp;F40)</f>
        <v>19</v>
      </c>
      <c r="N40" s="164" t="str">
        <f t="shared" ref="N40:N53" si="14">TEXT(I40,"000,0")&amp;"-"&amp;J40&amp;"-"&amp;TEXT(M40,"000")</f>
        <v>038,0-00000A00A000000000F-019</v>
      </c>
      <c r="O40" s="844">
        <f>COUNTIF(N$8:N$53,"&lt;="&amp;N40)</f>
        <v>14</v>
      </c>
      <c r="P40" s="128" t="str">
        <f>IFERROR(INDEX('1'!C$300:C$400,MATCH("*"&amp;F40&amp;"*",'1'!B$300:B$400,0)),"  ")</f>
        <v xml:space="preserve">  </v>
      </c>
      <c r="Q40" s="129" t="str">
        <f>IFERROR(INDEX('2'!C$300:C$400,MATCH("*"&amp;F40&amp;"*",'2'!B$300:B$400,0)),"  ")</f>
        <v xml:space="preserve">  </v>
      </c>
      <c r="R40" s="129">
        <f>IFERROR(INDEX('3'!C$300:C$400,MATCH("*"&amp;F40&amp;"*",'3'!B$300:B$400,0)),"  ")</f>
        <v>16</v>
      </c>
      <c r="S40" s="129">
        <f>IFERROR(INDEX('4'!C$300:C$400,MATCH("*"&amp;F40&amp;"*",'4'!B$300:B$400,0)),"  ")</f>
        <v>22</v>
      </c>
      <c r="T40" s="129" t="str">
        <f>IFERROR(INDEX('5'!C$300:C$400,MATCH("*"&amp;F40&amp;"*",'5'!B$300:B$400,0)),"  ")</f>
        <v xml:space="preserve">  </v>
      </c>
      <c r="U40" s="129" t="str">
        <f>IFERROR(INDEX('6'!C$300:C$400,MATCH("*"&amp;F40&amp;"*",'6'!B$300:B$400,0)),"  ")</f>
        <v xml:space="preserve">  </v>
      </c>
      <c r="V40" s="129" t="str">
        <f>IFERROR(INDEX('7'!C$300:C$400,MATCH("*"&amp;F40&amp;"*",'7'!B$300:B$400,0)),"  ")</f>
        <v xml:space="preserve">  </v>
      </c>
      <c r="W40" s="129" t="str">
        <f>IFERROR(INDEX('8'!C$300:C$400,MATCH("*"&amp;F40&amp;"*",'8'!B$300:B$400,0)),"  ")</f>
        <v xml:space="preserve">  </v>
      </c>
      <c r="X40" s="129" t="str">
        <f>IFERROR(INDEX('9'!C$300:C$400,MATCH("*"&amp;F40&amp;"*",'9'!B$300:B$400,0)),"  ")</f>
        <v xml:space="preserve">  </v>
      </c>
      <c r="Y40" s="129" t="str">
        <f>IFERROR(INDEX('10'!C$300:C$400,MATCH("*"&amp;F40&amp;"*",'10'!B$300:B$400,0)),"  ")</f>
        <v xml:space="preserve">  </v>
      </c>
      <c r="Z40" s="128" t="str">
        <f>IFERROR(INDEX('11'!C$300:C$400,MATCH("*"&amp;F40&amp;"*",'11'!B$300:B$400,0)),"  ")</f>
        <v xml:space="preserve">  </v>
      </c>
      <c r="AA40" s="129" t="str">
        <f>IFERROR(INDEX('12'!C$300:C$400,MATCH("*"&amp;F40&amp;"*",'12'!B$300:B$400,0)),"  ")</f>
        <v xml:space="preserve">  </v>
      </c>
      <c r="AB40" s="129" t="str">
        <f>IFERROR(INDEX('13'!C$300:C$400,MATCH("*"&amp;F40&amp;"*",'13'!B$300:B$400,0)),"  ")</f>
        <v xml:space="preserve">  </v>
      </c>
      <c r="AC40" s="130">
        <f t="shared" ref="AC40:AC53" si="15">COUNTIF(P40:AB40,"&gt;=0")</f>
        <v>2</v>
      </c>
      <c r="AD40" s="130">
        <f t="shared" ref="AD40:AD53" si="16">COUNTIF(P40:AB40,"&gt;=30")</f>
        <v>0</v>
      </c>
      <c r="AE40" s="130">
        <f t="shared" ref="AE40:AE53" si="17">COUNTIF(P40:AB40,"=40")</f>
        <v>0</v>
      </c>
      <c r="AF40" s="1346">
        <f t="shared" si="7"/>
        <v>1E-4</v>
      </c>
      <c r="AG40" s="1346">
        <f t="shared" si="8"/>
        <v>2.0000000000000001E-4</v>
      </c>
      <c r="AH40" s="1346">
        <f t="shared" si="9"/>
        <v>5.0000000000000001E-4</v>
      </c>
      <c r="AI40" s="1346">
        <f t="shared" si="10"/>
        <v>8.0000000000000004E-4</v>
      </c>
    </row>
    <row r="41" spans="1:35" s="134" customFormat="1" ht="12.75" customHeight="1" x14ac:dyDescent="0.2">
      <c r="A41" s="978" t="str">
        <f>IF(B41="","",COUNTIF(B$8:B$53,"&gt;="&amp;B41))</f>
        <v/>
      </c>
      <c r="B41" s="165" t="str">
        <f t="shared" si="11"/>
        <v/>
      </c>
      <c r="C41" s="1016" t="str">
        <f>IF(D41="","",COUNTIF(D$8:D$53,"&gt;="&amp;D41))</f>
        <v/>
      </c>
      <c r="D41" s="168" t="str">
        <f t="shared" si="12"/>
        <v/>
      </c>
      <c r="E41" s="1314">
        <f>RANK(L41,L$8:L$53,1)</f>
        <v>34</v>
      </c>
      <c r="F41" s="183" t="s">
        <v>762</v>
      </c>
      <c r="G41" s="152"/>
      <c r="H41" s="166"/>
      <c r="I41" s="1379">
        <f>(IF(COUNT(R41,T41,W41,Y41,AB41)&lt;3,SUM(R41,T41,W41,Y41,AB41),SUM(LARGE((R41,T41,W41,Y41,AB41),{1;2;3}))))+(IF(COUNT(Q41,U41,X41,Z41)&lt;3,SUM(Q41,U41,X41,Z41),SUM(LARGE((Q41,U41,X41,Z41),{1;2;3}))))+(IF(COUNT(P41,S41,V41,AA41)&lt;3,SUM(P41,S41,V41,AA41),SUM(LARGE((P41,S41,V41,AA41),{1;2;3}))))</f>
        <v>34</v>
      </c>
      <c r="J41" s="164" t="str">
        <f>INDEX(ETAPP!B$1:B$32,MATCH(COUNTIF(P41:AB41,PIV!A$1),ETAPP!A$1:A$32,0))&amp;INDEX(ETAPP!B$1:B$32,MATCH(COUNTIF(P41:AB41,PIV!A$2),ETAPP!A$1:A$32,0))&amp;INDEX(ETAPP!B$1:B$32,MATCH(COUNTIF(P41:AB41,PIV!A$3),ETAPP!A$1:A$32,0))&amp;INDEX(ETAPP!B$1:B$32,MATCH(COUNTIF(P41:AB41,PIV!A$4),ETAPP!A$1:A$32,0))&amp;INDEX(ETAPP!B$1:B$32,MATCH(COUNTIF(P41:AB41,PIV!A$5),ETAPP!A$1:A$32,0))&amp;INDEX(ETAPP!B$1:B$32,MATCH(COUNTIF(P41:AB41,PIV!A$6),ETAPP!A$1:A$32,0))&amp;INDEX(ETAPP!B$1:B$32,MATCH(COUNTIF(P41:AB41,PIV!A$7),ETAPP!A$1:A$32,0))&amp;INDEX(ETAPP!B$1:B$32,MATCH(COUNTIF(P41:AB41,PIV!A$8),ETAPP!A$1:A$32,0))&amp;INDEX(ETAPP!B$1:B$32,MATCH(COUNTIF(P41:AB41,PIV!A$9),ETAPP!A$1:A$32,0))&amp;INDEX(ETAPP!B$1:B$32,MATCH(COUNTIF(P41:AB41,PIV!A$10),ETAPP!A$1:A$32,0))&amp;INDEX(ETAPP!B$1:B$32,MATCH(COUNTIF(P41:AB41,PIV!A$11),ETAPP!A$1:A$32,0))&amp;INDEX(ETAPP!B$1:B$32,MATCH(COUNTIF(P41:AB41,PIV!A$12),ETAPP!A$1:A$32,0))&amp;INDEX(ETAPP!B$1:B$32,MATCH(COUNTIF(P41:AB41,PIV!A$13),ETAPP!A$1:A$32,0))&amp;INDEX(ETAPP!B$1:B$32,MATCH(COUNTIF(P41:AB41,PIV!A$14),ETAPP!A$1:A$32,0))&amp;INDEX(ETAPP!B$1:B$32,MATCH(COUNTIF(P41:AB41,PIV!A$15),ETAPP!A$1:A$32,0))&amp;INDEX(ETAPP!B$1:B$32,MATCH(COUNTIF(P41:AB41,PIV!A$16),ETAPP!A$1:A$32,0))&amp;INDEX(ETAPP!B$1:B$32,MATCH(COUNTIF(P41:AB41,PIV!A$17),ETAPP!A$1:A$32,0))&amp;INDEX(ETAPP!B$1:B$32,MATCH(COUNTIF(P41:AB41,PIV!A$18),ETAPP!A$1:A$32,0))&amp;INDEX(ETAPP!B$1:B$32,MATCH(COUNTIF(P41:AB41,PIV!A$19),ETAPP!A$1:A$32,0))</f>
        <v>0000000AA000000000F</v>
      </c>
      <c r="K41" s="164" t="str">
        <f t="shared" si="13"/>
        <v>034,0-0000000AA000000000F</v>
      </c>
      <c r="L41" s="127">
        <f>COUNTIF(K$8:K$53,"&gt;="&amp;K41)</f>
        <v>34</v>
      </c>
      <c r="M41" s="127">
        <f>COUNTIF(F$8:F$53,"&gt;="&amp;F41)</f>
        <v>14</v>
      </c>
      <c r="N41" s="164" t="str">
        <f t="shared" si="14"/>
        <v>034,0-0000000AA000000000F-014</v>
      </c>
      <c r="O41" s="844">
        <f>COUNTIF(N$8:N$53,"&lt;="&amp;N41)</f>
        <v>13</v>
      </c>
      <c r="P41" s="128" t="str">
        <f>IFERROR(INDEX('1'!C$300:C$400,MATCH("*"&amp;F41&amp;"*",'1'!B$300:B$400,0)),"  ")</f>
        <v xml:space="preserve">  </v>
      </c>
      <c r="Q41" s="129" t="str">
        <f>IFERROR(INDEX('2'!C$300:C$400,MATCH("*"&amp;F41&amp;"*",'2'!B$300:B$400,0)),"  ")</f>
        <v xml:space="preserve">  </v>
      </c>
      <c r="R41" s="129" t="str">
        <f>IFERROR(INDEX('3'!C$300:C$400,MATCH("*"&amp;F41&amp;"*",'3'!B$300:B$400,0)),"  ")</f>
        <v xml:space="preserve">  </v>
      </c>
      <c r="S41" s="129">
        <f>IFERROR(INDEX('4'!C$300:C$400,MATCH("*"&amp;F41&amp;"*",'4'!B$300:B$400,0)),"  ")</f>
        <v>18</v>
      </c>
      <c r="T41" s="129" t="str">
        <f>IFERROR(INDEX('5'!C$300:C$400,MATCH("*"&amp;F41&amp;"*",'5'!B$300:B$400,0)),"  ")</f>
        <v xml:space="preserve">  </v>
      </c>
      <c r="U41" s="129">
        <f>IFERROR(INDEX('6'!C$300:C$400,MATCH("*"&amp;F41&amp;"*",'6'!B$300:B$400,0)),"  ")</f>
        <v>16</v>
      </c>
      <c r="V41" s="129" t="str">
        <f>IFERROR(INDEX('7'!C$300:C$400,MATCH("*"&amp;F41&amp;"*",'7'!B$300:B$400,0)),"  ")</f>
        <v xml:space="preserve">  </v>
      </c>
      <c r="W41" s="129" t="str">
        <f>IFERROR(INDEX('8'!C$300:C$400,MATCH("*"&amp;F41&amp;"*",'8'!B$300:B$400,0)),"  ")</f>
        <v xml:space="preserve">  </v>
      </c>
      <c r="X41" s="129" t="str">
        <f>IFERROR(INDEX('9'!C$300:C$400,MATCH("*"&amp;F41&amp;"*",'9'!B$300:B$400,0)),"  ")</f>
        <v xml:space="preserve">  </v>
      </c>
      <c r="Y41" s="129" t="str">
        <f>IFERROR(INDEX('10'!C$300:C$400,MATCH("*"&amp;F41&amp;"*",'10'!B$300:B$400,0)),"  ")</f>
        <v xml:space="preserve">  </v>
      </c>
      <c r="Z41" s="128" t="str">
        <f>IFERROR(INDEX('11'!C$300:C$400,MATCH("*"&amp;F41&amp;"*",'11'!B$300:B$400,0)),"  ")</f>
        <v xml:space="preserve">  </v>
      </c>
      <c r="AA41" s="129" t="str">
        <f>IFERROR(INDEX('12'!C$300:C$400,MATCH("*"&amp;F41&amp;"*",'12'!B$300:B$400,0)),"  ")</f>
        <v xml:space="preserve">  </v>
      </c>
      <c r="AB41" s="129" t="str">
        <f>IFERROR(INDEX('13'!C$300:C$400,MATCH("*"&amp;F41&amp;"*",'13'!B$300:B$400,0)),"  ")</f>
        <v xml:space="preserve">  </v>
      </c>
      <c r="AC41" s="130">
        <f t="shared" si="15"/>
        <v>2</v>
      </c>
      <c r="AD41" s="130">
        <f t="shared" si="16"/>
        <v>0</v>
      </c>
      <c r="AE41" s="130">
        <f t="shared" si="17"/>
        <v>0</v>
      </c>
      <c r="AF41" s="1346">
        <f t="shared" si="7"/>
        <v>1E-4</v>
      </c>
      <c r="AG41" s="1346">
        <f t="shared" si="8"/>
        <v>2.0000000000000001E-4</v>
      </c>
      <c r="AH41" s="1346">
        <f t="shared" si="9"/>
        <v>2.9999999999999997E-4</v>
      </c>
      <c r="AI41" s="1346">
        <f t="shared" si="10"/>
        <v>5.0000000000000001E-4</v>
      </c>
    </row>
    <row r="42" spans="1:35" s="134" customFormat="1" ht="12.75" customHeight="1" x14ac:dyDescent="0.2">
      <c r="A42" s="978" t="str">
        <f>IF(B42="","",COUNTIF(B$8:B$53,"&gt;="&amp;B42))</f>
        <v/>
      </c>
      <c r="B42" s="165" t="str">
        <f t="shared" si="11"/>
        <v/>
      </c>
      <c r="C42" s="1016">
        <f>IF(D42="","",COUNTIF(D$8:D$53,"&gt;="&amp;D42))</f>
        <v>3</v>
      </c>
      <c r="D42" s="168" t="str">
        <f t="shared" si="12"/>
        <v>026,0-000A00000000000000G</v>
      </c>
      <c r="E42" s="1314">
        <f>RANK(L42,L$8:L$53,1)</f>
        <v>35</v>
      </c>
      <c r="F42" s="30" t="s">
        <v>125</v>
      </c>
      <c r="G42" s="149"/>
      <c r="H42" s="167" t="s">
        <v>138</v>
      </c>
      <c r="I42" s="1379">
        <f>(IF(COUNT(R42,T42,W42,Y42,AB42)&lt;3,SUM(R42,T42,W42,Y42,AB42),SUM(LARGE((R42,T42,W42,Y42,AB42),{1;2;3}))))+(IF(COUNT(Q42,U42,X42,Z42)&lt;3,SUM(Q42,U42,X42,Z42),SUM(LARGE((Q42,U42,X42,Z42),{1;2;3}))))+(IF(COUNT(P42,S42,V42,AA42)&lt;3,SUM(P42,S42,V42,AA42),SUM(LARGE((P42,S42,V42,AA42),{1;2;3}))))</f>
        <v>26</v>
      </c>
      <c r="J42" s="164" t="str">
        <f>INDEX(ETAPP!B$1:B$32,MATCH(COUNTIF(P42:AB42,PIV!A$1),ETAPP!A$1:A$32,0))&amp;INDEX(ETAPP!B$1:B$32,MATCH(COUNTIF(P42:AB42,PIV!A$2),ETAPP!A$1:A$32,0))&amp;INDEX(ETAPP!B$1:B$32,MATCH(COUNTIF(P42:AB42,PIV!A$3),ETAPP!A$1:A$32,0))&amp;INDEX(ETAPP!B$1:B$32,MATCH(COUNTIF(P42:AB42,PIV!A$4),ETAPP!A$1:A$32,0))&amp;INDEX(ETAPP!B$1:B$32,MATCH(COUNTIF(P42:AB42,PIV!A$5),ETAPP!A$1:A$32,0))&amp;INDEX(ETAPP!B$1:B$32,MATCH(COUNTIF(P42:AB42,PIV!A$6),ETAPP!A$1:A$32,0))&amp;INDEX(ETAPP!B$1:B$32,MATCH(COUNTIF(P42:AB42,PIV!A$7),ETAPP!A$1:A$32,0))&amp;INDEX(ETAPP!B$1:B$32,MATCH(COUNTIF(P42:AB42,PIV!A$8),ETAPP!A$1:A$32,0))&amp;INDEX(ETAPP!B$1:B$32,MATCH(COUNTIF(P42:AB42,PIV!A$9),ETAPP!A$1:A$32,0))&amp;INDEX(ETAPP!B$1:B$32,MATCH(COUNTIF(P42:AB42,PIV!A$10),ETAPP!A$1:A$32,0))&amp;INDEX(ETAPP!B$1:B$32,MATCH(COUNTIF(P42:AB42,PIV!A$11),ETAPP!A$1:A$32,0))&amp;INDEX(ETAPP!B$1:B$32,MATCH(COUNTIF(P42:AB42,PIV!A$12),ETAPP!A$1:A$32,0))&amp;INDEX(ETAPP!B$1:B$32,MATCH(COUNTIF(P42:AB42,PIV!A$13),ETAPP!A$1:A$32,0))&amp;INDEX(ETAPP!B$1:B$32,MATCH(COUNTIF(P42:AB42,PIV!A$14),ETAPP!A$1:A$32,0))&amp;INDEX(ETAPP!B$1:B$32,MATCH(COUNTIF(P42:AB42,PIV!A$15),ETAPP!A$1:A$32,0))&amp;INDEX(ETAPP!B$1:B$32,MATCH(COUNTIF(P42:AB42,PIV!A$16),ETAPP!A$1:A$32,0))&amp;INDEX(ETAPP!B$1:B$32,MATCH(COUNTIF(P42:AB42,PIV!A$17),ETAPP!A$1:A$32,0))&amp;INDEX(ETAPP!B$1:B$32,MATCH(COUNTIF(P42:AB42,PIV!A$18),ETAPP!A$1:A$32,0))&amp;INDEX(ETAPP!B$1:B$32,MATCH(COUNTIF(P42:AB42,PIV!A$19),ETAPP!A$1:A$32,0))</f>
        <v>000A00000000000000G</v>
      </c>
      <c r="K42" s="164" t="str">
        <f t="shared" si="13"/>
        <v>026,0-000A00000000000000G</v>
      </c>
      <c r="L42" s="127">
        <f>COUNTIF(K$8:K$53,"&gt;="&amp;K42)</f>
        <v>35</v>
      </c>
      <c r="M42" s="127">
        <f>COUNTIF(F$8:F$53,"&gt;="&amp;F42)</f>
        <v>32</v>
      </c>
      <c r="N42" s="164" t="str">
        <f t="shared" si="14"/>
        <v>026,0-000A00000000000000G-032</v>
      </c>
      <c r="O42" s="844">
        <f>COUNTIF(N$8:N$53,"&lt;="&amp;N42)</f>
        <v>12</v>
      </c>
      <c r="P42" s="128" t="str">
        <f>IFERROR(INDEX('1'!C$300:C$400,MATCH("*"&amp;F42&amp;"*",'1'!B$300:B$400,0)),"  ")</f>
        <v xml:space="preserve">  </v>
      </c>
      <c r="Q42" s="129" t="str">
        <f>IFERROR(INDEX('2'!C$300:C$400,MATCH("*"&amp;F42&amp;"*",'2'!B$300:B$400,0)),"  ")</f>
        <v xml:space="preserve">  </v>
      </c>
      <c r="R42" s="129" t="str">
        <f>IFERROR(INDEX('3'!C$300:C$400,MATCH("*"&amp;F42&amp;"*",'3'!B$300:B$400,0)),"  ")</f>
        <v xml:space="preserve">  </v>
      </c>
      <c r="S42" s="129">
        <f>IFERROR(INDEX('4'!C$300:C$400,MATCH("*"&amp;F42&amp;"*",'4'!B$300:B$400,0)),"  ")</f>
        <v>26</v>
      </c>
      <c r="T42" s="129" t="str">
        <f>IFERROR(INDEX('5'!C$300:C$400,MATCH("*"&amp;F42&amp;"*",'5'!B$300:B$400,0)),"  ")</f>
        <v xml:space="preserve">  </v>
      </c>
      <c r="U42" s="129" t="str">
        <f>IFERROR(INDEX('6'!C$300:C$400,MATCH("*"&amp;F42&amp;"*",'6'!B$300:B$400,0)),"  ")</f>
        <v xml:space="preserve">  </v>
      </c>
      <c r="V42" s="129" t="str">
        <f>IFERROR(INDEX('7'!C$300:C$400,MATCH("*"&amp;F42&amp;"*",'7'!B$300:B$400,0)),"  ")</f>
        <v xml:space="preserve">  </v>
      </c>
      <c r="W42" s="129" t="str">
        <f>IFERROR(INDEX('8'!C$300:C$400,MATCH("*"&amp;F42&amp;"*",'8'!B$300:B$400,0)),"  ")</f>
        <v xml:space="preserve">  </v>
      </c>
      <c r="X42" s="129" t="str">
        <f>IFERROR(INDEX('9'!C$300:C$400,MATCH("*"&amp;F42&amp;"*",'9'!B$300:B$400,0)),"  ")</f>
        <v xml:space="preserve">  </v>
      </c>
      <c r="Y42" s="129" t="str">
        <f>IFERROR(INDEX('10'!C$300:C$400,MATCH("*"&amp;F42&amp;"*",'10'!B$300:B$400,0)),"  ")</f>
        <v xml:space="preserve">  </v>
      </c>
      <c r="Z42" s="128" t="str">
        <f>IFERROR(INDEX('11'!C$300:C$400,MATCH("*"&amp;F42&amp;"*",'11'!B$300:B$400,0)),"  ")</f>
        <v xml:space="preserve">  </v>
      </c>
      <c r="AA42" s="129" t="str">
        <f>IFERROR(INDEX('12'!C$300:C$400,MATCH("*"&amp;F42&amp;"*",'12'!B$300:B$400,0)),"  ")</f>
        <v xml:space="preserve">  </v>
      </c>
      <c r="AB42" s="129" t="str">
        <f>IFERROR(INDEX('13'!C$300:C$400,MATCH("*"&amp;F42&amp;"*",'13'!B$300:B$400,0)),"  ")</f>
        <v xml:space="preserve">  </v>
      </c>
      <c r="AC42" s="130">
        <f t="shared" si="15"/>
        <v>1</v>
      </c>
      <c r="AD42" s="130">
        <f t="shared" si="16"/>
        <v>0</v>
      </c>
      <c r="AE42" s="130">
        <f t="shared" si="17"/>
        <v>0</v>
      </c>
      <c r="AF42" s="1346">
        <f t="shared" si="7"/>
        <v>1E-4</v>
      </c>
      <c r="AG42" s="1346">
        <f t="shared" si="8"/>
        <v>2.0000000000000001E-4</v>
      </c>
      <c r="AH42" s="1346">
        <f t="shared" si="9"/>
        <v>2.9999999999999997E-4</v>
      </c>
      <c r="AI42" s="1346">
        <f t="shared" si="10"/>
        <v>5.0000000000000001E-4</v>
      </c>
    </row>
    <row r="43" spans="1:35" ht="12.75" customHeight="1" x14ac:dyDescent="0.2">
      <c r="A43" s="978" t="str">
        <f>IF(B43="","",COUNTIF(B$8:B$53,"&gt;="&amp;B43))</f>
        <v/>
      </c>
      <c r="B43" s="165" t="str">
        <f t="shared" si="11"/>
        <v/>
      </c>
      <c r="C43" s="1016" t="str">
        <f>IF(D43="","",COUNTIF(D$8:D$53,"&gt;="&amp;D43))</f>
        <v/>
      </c>
      <c r="D43" s="168" t="str">
        <f t="shared" si="12"/>
        <v/>
      </c>
      <c r="E43" s="1314">
        <f>RANK(L43,L$8:L$53,1)</f>
        <v>36</v>
      </c>
      <c r="F43" s="30" t="s">
        <v>122</v>
      </c>
      <c r="G43" s="149"/>
      <c r="H43" s="150"/>
      <c r="I43" s="1379">
        <f>(IF(COUNT(R43,T43,W43,Y43,AB43)&lt;3,SUM(R43,T43,W43,Y43,AB43),SUM(LARGE((R43,T43,W43,Y43,AB43),{1;2;3}))))+(IF(COUNT(Q43,U43,X43,Z43)&lt;3,SUM(Q43,U43,X43,Z43),SUM(LARGE((Q43,U43,X43,Z43),{1;2;3}))))+(IF(COUNT(P43,S43,V43,AA43)&lt;3,SUM(P43,S43,V43,AA43),SUM(LARGE((P43,S43,V43,AA43),{1;2;3}))))</f>
        <v>22</v>
      </c>
      <c r="J43" s="164" t="str">
        <f>INDEX(ETAPP!B$1:B$32,MATCH(COUNTIF(P43:AB43,PIV!A$1),ETAPP!A$1:A$32,0))&amp;INDEX(ETAPP!B$1:B$32,MATCH(COUNTIF(P43:AB43,PIV!A$2),ETAPP!A$1:A$32,0))&amp;INDEX(ETAPP!B$1:B$32,MATCH(COUNTIF(P43:AB43,PIV!A$3),ETAPP!A$1:A$32,0))&amp;INDEX(ETAPP!B$1:B$32,MATCH(COUNTIF(P43:AB43,PIV!A$4),ETAPP!A$1:A$32,0))&amp;INDEX(ETAPP!B$1:B$32,MATCH(COUNTIF(P43:AB43,PIV!A$5),ETAPP!A$1:A$32,0))&amp;INDEX(ETAPP!B$1:B$32,MATCH(COUNTIF(P43:AB43,PIV!A$6),ETAPP!A$1:A$32,0))&amp;INDEX(ETAPP!B$1:B$32,MATCH(COUNTIF(P43:AB43,PIV!A$7),ETAPP!A$1:A$32,0))&amp;INDEX(ETAPP!B$1:B$32,MATCH(COUNTIF(P43:AB43,PIV!A$8),ETAPP!A$1:A$32,0))&amp;INDEX(ETAPP!B$1:B$32,MATCH(COUNTIF(P43:AB43,PIV!A$9),ETAPP!A$1:A$32,0))&amp;INDEX(ETAPP!B$1:B$32,MATCH(COUNTIF(P43:AB43,PIV!A$10),ETAPP!A$1:A$32,0))&amp;INDEX(ETAPP!B$1:B$32,MATCH(COUNTIF(P43:AB43,PIV!A$11),ETAPP!A$1:A$32,0))&amp;INDEX(ETAPP!B$1:B$32,MATCH(COUNTIF(P43:AB43,PIV!A$12),ETAPP!A$1:A$32,0))&amp;INDEX(ETAPP!B$1:B$32,MATCH(COUNTIF(P43:AB43,PIV!A$13),ETAPP!A$1:A$32,0))&amp;INDEX(ETAPP!B$1:B$32,MATCH(COUNTIF(P43:AB43,PIV!A$14),ETAPP!A$1:A$32,0))&amp;INDEX(ETAPP!B$1:B$32,MATCH(COUNTIF(P43:AB43,PIV!A$15),ETAPP!A$1:A$32,0))&amp;INDEX(ETAPP!B$1:B$32,MATCH(COUNTIF(P43:AB43,PIV!A$16),ETAPP!A$1:A$32,0))&amp;INDEX(ETAPP!B$1:B$32,MATCH(COUNTIF(P43:AB43,PIV!A$17),ETAPP!A$1:A$32,0))&amp;INDEX(ETAPP!B$1:B$32,MATCH(COUNTIF(P43:AB43,PIV!A$18),ETAPP!A$1:A$32,0))&amp;INDEX(ETAPP!B$1:B$32,MATCH(COUNTIF(P43:AB43,PIV!A$19),ETAPP!A$1:A$32,0))</f>
        <v>00000000A0000A0000F</v>
      </c>
      <c r="K43" s="164" t="str">
        <f t="shared" si="13"/>
        <v>022,0-00000000A0000A0000F</v>
      </c>
      <c r="L43" s="127">
        <f>COUNTIF(K$8:K$53,"&gt;="&amp;K43)</f>
        <v>36</v>
      </c>
      <c r="M43" s="127">
        <f>COUNTIF(F$8:F$53,"&gt;="&amp;F43)</f>
        <v>10</v>
      </c>
      <c r="N43" s="164" t="str">
        <f t="shared" si="14"/>
        <v>022,0-00000000A0000A0000F-010</v>
      </c>
      <c r="O43" s="844">
        <f>COUNTIF(N$8:N$53,"&lt;="&amp;N43)</f>
        <v>11</v>
      </c>
      <c r="P43" s="128" t="str">
        <f>IFERROR(INDEX('1'!C$300:C$400,MATCH("*"&amp;F43&amp;"*",'1'!B$300:B$400,0)),"  ")</f>
        <v xml:space="preserve">  </v>
      </c>
      <c r="Q43" s="129" t="str">
        <f>IFERROR(INDEX('2'!C$300:C$400,MATCH("*"&amp;F43&amp;"*",'2'!B$300:B$400,0)),"  ")</f>
        <v xml:space="preserve">  </v>
      </c>
      <c r="R43" s="129" t="str">
        <f>IFERROR(INDEX('3'!C$300:C$400,MATCH("*"&amp;F43&amp;"*",'3'!B$300:B$400,0)),"  ")</f>
        <v xml:space="preserve">  </v>
      </c>
      <c r="S43" s="129">
        <f>IFERROR(INDEX('4'!C$300:C$400,MATCH("*"&amp;F43&amp;"*",'4'!B$300:B$400,0)),"  ")</f>
        <v>16</v>
      </c>
      <c r="T43" s="129" t="str">
        <f>IFERROR(INDEX('5'!C$300:C$400,MATCH("*"&amp;F43&amp;"*",'5'!B$300:B$400,0)),"  ")</f>
        <v xml:space="preserve">  </v>
      </c>
      <c r="U43" s="129" t="str">
        <f>IFERROR(INDEX('6'!C$300:C$400,MATCH("*"&amp;F43&amp;"*",'6'!B$300:B$400,0)),"  ")</f>
        <v xml:space="preserve">  </v>
      </c>
      <c r="V43" s="129" t="str">
        <f>IFERROR(INDEX('7'!C$300:C$400,MATCH("*"&amp;F43&amp;"*",'7'!B$300:B$400,0)),"  ")</f>
        <v xml:space="preserve">  </v>
      </c>
      <c r="W43" s="129" t="str">
        <f>IFERROR(INDEX('8'!C$300:C$400,MATCH("*"&amp;F43&amp;"*",'8'!B$300:B$400,0)),"  ")</f>
        <v xml:space="preserve">  </v>
      </c>
      <c r="X43" s="129" t="str">
        <f>IFERROR(INDEX('9'!C$300:C$400,MATCH("*"&amp;F43&amp;"*",'9'!B$300:B$400,0)),"  ")</f>
        <v xml:space="preserve">  </v>
      </c>
      <c r="Y43" s="129">
        <f>IFERROR(INDEX('10'!C$300:C$400,MATCH("*"&amp;F43&amp;"*",'10'!B$300:B$400,0)),"  ")</f>
        <v>6</v>
      </c>
      <c r="Z43" s="128" t="str">
        <f>IFERROR(INDEX('11'!C$300:C$400,MATCH("*"&amp;F43&amp;"*",'11'!B$300:B$400,0)),"  ")</f>
        <v xml:space="preserve">  </v>
      </c>
      <c r="AA43" s="129" t="str">
        <f>IFERROR(INDEX('12'!C$300:C$400,MATCH("*"&amp;F43&amp;"*",'12'!B$300:B$400,0)),"  ")</f>
        <v xml:space="preserve">  </v>
      </c>
      <c r="AB43" s="129" t="str">
        <f>IFERROR(INDEX('13'!C$300:C$400,MATCH("*"&amp;F43&amp;"*",'13'!B$300:B$400,0)),"  ")</f>
        <v xml:space="preserve">  </v>
      </c>
      <c r="AC43" s="130">
        <f t="shared" si="15"/>
        <v>2</v>
      </c>
      <c r="AD43" s="130">
        <f t="shared" si="16"/>
        <v>0</v>
      </c>
      <c r="AE43" s="130">
        <f t="shared" si="17"/>
        <v>0</v>
      </c>
      <c r="AF43" s="1346">
        <f t="shared" si="7"/>
        <v>1E-4</v>
      </c>
      <c r="AG43" s="1346">
        <f t="shared" si="8"/>
        <v>2.0000000000000001E-4</v>
      </c>
      <c r="AH43" s="1346">
        <f t="shared" si="9"/>
        <v>2.9999999999999997E-4</v>
      </c>
      <c r="AI43" s="1346">
        <f t="shared" si="10"/>
        <v>5.0000000000000001E-4</v>
      </c>
    </row>
    <row r="44" spans="1:35" ht="12.75" customHeight="1" x14ac:dyDescent="0.2">
      <c r="A44" s="978">
        <f>IF(B44="","",COUNTIF(B$8:B$53,"&gt;="&amp;B44))</f>
        <v>5</v>
      </c>
      <c r="B44" s="165" t="str">
        <f t="shared" si="11"/>
        <v>020,0-000000A00000000000G</v>
      </c>
      <c r="C44" s="1016">
        <f>IF(D44="","",COUNTIF(D$8:D$53,"&gt;="&amp;D44))</f>
        <v>4</v>
      </c>
      <c r="D44" s="168" t="str">
        <f t="shared" si="12"/>
        <v>020,0-000000A00000000000G</v>
      </c>
      <c r="E44" s="1314">
        <f>RANK(L44,L$8:L$53,1)</f>
        <v>37</v>
      </c>
      <c r="F44" s="30" t="s">
        <v>264</v>
      </c>
      <c r="G44" s="149" t="s">
        <v>137</v>
      </c>
      <c r="H44" s="167" t="s">
        <v>138</v>
      </c>
      <c r="I44" s="1379">
        <f>(IF(COUNT(R44,T44,W44,Y44,AB44)&lt;3,SUM(R44,T44,W44,Y44,AB44),SUM(LARGE((R44,T44,W44,Y44,AB44),{1;2;3}))))+(IF(COUNT(Q44,U44,X44,Z44)&lt;3,SUM(Q44,U44,X44,Z44),SUM(LARGE((Q44,U44,X44,Z44),{1;2;3}))))+(IF(COUNT(P44,S44,V44,AA44)&lt;3,SUM(P44,S44,V44,AA44),SUM(LARGE((P44,S44,V44,AA44),{1;2;3}))))</f>
        <v>20</v>
      </c>
      <c r="J44" s="164" t="str">
        <f>INDEX(ETAPP!B$1:B$32,MATCH(COUNTIF(P44:AB44,PIV!A$1),ETAPP!A$1:A$32,0))&amp;INDEX(ETAPP!B$1:B$32,MATCH(COUNTIF(P44:AB44,PIV!A$2),ETAPP!A$1:A$32,0))&amp;INDEX(ETAPP!B$1:B$32,MATCH(COUNTIF(P44:AB44,PIV!A$3),ETAPP!A$1:A$32,0))&amp;INDEX(ETAPP!B$1:B$32,MATCH(COUNTIF(P44:AB44,PIV!A$4),ETAPP!A$1:A$32,0))&amp;INDEX(ETAPP!B$1:B$32,MATCH(COUNTIF(P44:AB44,PIV!A$5),ETAPP!A$1:A$32,0))&amp;INDEX(ETAPP!B$1:B$32,MATCH(COUNTIF(P44:AB44,PIV!A$6),ETAPP!A$1:A$32,0))&amp;INDEX(ETAPP!B$1:B$32,MATCH(COUNTIF(P44:AB44,PIV!A$7),ETAPP!A$1:A$32,0))&amp;INDEX(ETAPP!B$1:B$32,MATCH(COUNTIF(P44:AB44,PIV!A$8),ETAPP!A$1:A$32,0))&amp;INDEX(ETAPP!B$1:B$32,MATCH(COUNTIF(P44:AB44,PIV!A$9),ETAPP!A$1:A$32,0))&amp;INDEX(ETAPP!B$1:B$32,MATCH(COUNTIF(P44:AB44,PIV!A$10),ETAPP!A$1:A$32,0))&amp;INDEX(ETAPP!B$1:B$32,MATCH(COUNTIF(P44:AB44,PIV!A$11),ETAPP!A$1:A$32,0))&amp;INDEX(ETAPP!B$1:B$32,MATCH(COUNTIF(P44:AB44,PIV!A$12),ETAPP!A$1:A$32,0))&amp;INDEX(ETAPP!B$1:B$32,MATCH(COUNTIF(P44:AB44,PIV!A$13),ETAPP!A$1:A$32,0))&amp;INDEX(ETAPP!B$1:B$32,MATCH(COUNTIF(P44:AB44,PIV!A$14),ETAPP!A$1:A$32,0))&amp;INDEX(ETAPP!B$1:B$32,MATCH(COUNTIF(P44:AB44,PIV!A$15),ETAPP!A$1:A$32,0))&amp;INDEX(ETAPP!B$1:B$32,MATCH(COUNTIF(P44:AB44,PIV!A$16),ETAPP!A$1:A$32,0))&amp;INDEX(ETAPP!B$1:B$32,MATCH(COUNTIF(P44:AB44,PIV!A$17),ETAPP!A$1:A$32,0))&amp;INDEX(ETAPP!B$1:B$32,MATCH(COUNTIF(P44:AB44,PIV!A$18),ETAPP!A$1:A$32,0))&amp;INDEX(ETAPP!B$1:B$32,MATCH(COUNTIF(P44:AB44,PIV!A$19),ETAPP!A$1:A$32,0))</f>
        <v>000000A00000000000G</v>
      </c>
      <c r="K44" s="164" t="str">
        <f t="shared" si="13"/>
        <v>020,0-000000A00000000000G</v>
      </c>
      <c r="L44" s="127">
        <f>COUNTIF(K$8:K$53,"&gt;="&amp;K44)</f>
        <v>41</v>
      </c>
      <c r="M44" s="127">
        <f>COUNTIF(F$8:F$53,"&gt;="&amp;F44)</f>
        <v>40</v>
      </c>
      <c r="N44" s="164" t="str">
        <f t="shared" si="14"/>
        <v>020,0-000000A00000000000G-040</v>
      </c>
      <c r="O44" s="844">
        <f>COUNTIF(N$8:N$53,"&lt;="&amp;N44)</f>
        <v>10</v>
      </c>
      <c r="P44" s="128" t="str">
        <f>IFERROR(INDEX('1'!C$300:C$400,MATCH("*"&amp;F44&amp;"*",'1'!B$300:B$400,0)),"  ")</f>
        <v xml:space="preserve">  </v>
      </c>
      <c r="Q44" s="129" t="str">
        <f>IFERROR(INDEX('2'!C$300:C$400,MATCH("*"&amp;F44&amp;"*",'2'!B$300:B$400,0)),"  ")</f>
        <v xml:space="preserve">  </v>
      </c>
      <c r="R44" s="129" t="str">
        <f>IFERROR(INDEX('3'!C$300:C$400,MATCH("*"&amp;F44&amp;"*",'3'!B$300:B$400,0)),"  ")</f>
        <v xml:space="preserve">  </v>
      </c>
      <c r="S44" s="129">
        <f>IFERROR(INDEX('4'!C$300:C$400,MATCH("*"&amp;F44&amp;"*",'4'!B$300:B$400,0)),"  ")</f>
        <v>20</v>
      </c>
      <c r="T44" s="129" t="str">
        <f>IFERROR(INDEX('5'!C$300:C$400,MATCH("*"&amp;F44&amp;"*",'5'!B$300:B$400,0)),"  ")</f>
        <v xml:space="preserve">  </v>
      </c>
      <c r="U44" s="129" t="str">
        <f>IFERROR(INDEX('6'!C$300:C$400,MATCH("*"&amp;F44&amp;"*",'6'!B$300:B$400,0)),"  ")</f>
        <v xml:space="preserve">  </v>
      </c>
      <c r="V44" s="129" t="str">
        <f>IFERROR(INDEX('7'!C$300:C$400,MATCH("*"&amp;F44&amp;"*",'7'!B$300:B$400,0)),"  ")</f>
        <v xml:space="preserve">  </v>
      </c>
      <c r="W44" s="129" t="str">
        <f>IFERROR(INDEX('8'!C$300:C$400,MATCH("*"&amp;F44&amp;"*",'8'!B$300:B$400,0)),"  ")</f>
        <v xml:space="preserve">  </v>
      </c>
      <c r="X44" s="129" t="str">
        <f>IFERROR(INDEX('9'!C$300:C$400,MATCH("*"&amp;F44&amp;"*",'9'!B$300:B$400,0)),"  ")</f>
        <v xml:space="preserve">  </v>
      </c>
      <c r="Y44" s="129" t="str">
        <f>IFERROR(INDEX('10'!C$300:C$400,MATCH("*"&amp;F44&amp;"*",'10'!B$300:B$400,0)),"  ")</f>
        <v xml:space="preserve">  </v>
      </c>
      <c r="Z44" s="128" t="str">
        <f>IFERROR(INDEX('11'!C$300:C$400,MATCH("*"&amp;F44&amp;"*",'11'!B$300:B$400,0)),"  ")</f>
        <v xml:space="preserve">  </v>
      </c>
      <c r="AA44" s="129" t="str">
        <f>IFERROR(INDEX('12'!C$300:C$400,MATCH("*"&amp;F44&amp;"*",'12'!B$300:B$400,0)),"  ")</f>
        <v xml:space="preserve">  </v>
      </c>
      <c r="AB44" s="129" t="str">
        <f>IFERROR(INDEX('13'!C$300:C$400,MATCH("*"&amp;F44&amp;"*",'13'!B$300:B$400,0)),"  ")</f>
        <v xml:space="preserve">  </v>
      </c>
      <c r="AC44" s="130">
        <f t="shared" si="15"/>
        <v>1</v>
      </c>
      <c r="AD44" s="130">
        <f t="shared" si="16"/>
        <v>0</v>
      </c>
      <c r="AE44" s="130">
        <f t="shared" si="17"/>
        <v>0</v>
      </c>
      <c r="AF44" s="1346">
        <f t="shared" si="7"/>
        <v>1E-4</v>
      </c>
      <c r="AG44" s="1346">
        <f t="shared" si="8"/>
        <v>2.0000000000000001E-4</v>
      </c>
      <c r="AH44" s="1346">
        <f t="shared" si="9"/>
        <v>2.9999999999999997E-4</v>
      </c>
      <c r="AI44" s="1346">
        <f t="shared" si="10"/>
        <v>5.0000000000000001E-4</v>
      </c>
    </row>
    <row r="45" spans="1:35" ht="12.75" customHeight="1" x14ac:dyDescent="0.2">
      <c r="A45" s="978" t="str">
        <f>IF(B45="","",COUNTIF(B$8:B$53,"&gt;="&amp;B45))</f>
        <v/>
      </c>
      <c r="B45" s="165" t="str">
        <f t="shared" si="11"/>
        <v/>
      </c>
      <c r="C45" s="1016" t="str">
        <f>IF(D45="","",COUNTIF(D$8:D$53,"&gt;="&amp;D45))</f>
        <v/>
      </c>
      <c r="D45" s="168" t="str">
        <f t="shared" si="12"/>
        <v/>
      </c>
      <c r="E45" s="1314">
        <f>RANK(L45,L$8:L$53,1)</f>
        <v>37</v>
      </c>
      <c r="F45" s="30" t="s">
        <v>128</v>
      </c>
      <c r="G45" s="149"/>
      <c r="H45" s="150"/>
      <c r="I45" s="1379">
        <f>(IF(COUNT(R45,T45,W45,Y45,AB45)&lt;3,SUM(R45,T45,W45,Y45,AB45),SUM(LARGE((R45,T45,W45,Y45,AB45),{1;2;3}))))+(IF(COUNT(Q45,U45,X45,Z45)&lt;3,SUM(Q45,U45,X45,Z45),SUM(LARGE((Q45,U45,X45,Z45),{1;2;3}))))+(IF(COUNT(P45,S45,V45,AA45)&lt;3,SUM(P45,S45,V45,AA45),SUM(LARGE((P45,S45,V45,AA45),{1;2;3}))))</f>
        <v>20</v>
      </c>
      <c r="J45" s="164" t="str">
        <f>INDEX(ETAPP!B$1:B$32,MATCH(COUNTIF(P45:AB45,PIV!A$1),ETAPP!A$1:A$32,0))&amp;INDEX(ETAPP!B$1:B$32,MATCH(COUNTIF(P45:AB45,PIV!A$2),ETAPP!A$1:A$32,0))&amp;INDEX(ETAPP!B$1:B$32,MATCH(COUNTIF(P45:AB45,PIV!A$3),ETAPP!A$1:A$32,0))&amp;INDEX(ETAPP!B$1:B$32,MATCH(COUNTIF(P45:AB45,PIV!A$4),ETAPP!A$1:A$32,0))&amp;INDEX(ETAPP!B$1:B$32,MATCH(COUNTIF(P45:AB45,PIV!A$5),ETAPP!A$1:A$32,0))&amp;INDEX(ETAPP!B$1:B$32,MATCH(COUNTIF(P45:AB45,PIV!A$6),ETAPP!A$1:A$32,0))&amp;INDEX(ETAPP!B$1:B$32,MATCH(COUNTIF(P45:AB45,PIV!A$7),ETAPP!A$1:A$32,0))&amp;INDEX(ETAPP!B$1:B$32,MATCH(COUNTIF(P45:AB45,PIV!A$8),ETAPP!A$1:A$32,0))&amp;INDEX(ETAPP!B$1:B$32,MATCH(COUNTIF(P45:AB45,PIV!A$9),ETAPP!A$1:A$32,0))&amp;INDEX(ETAPP!B$1:B$32,MATCH(COUNTIF(P45:AB45,PIV!A$10),ETAPP!A$1:A$32,0))&amp;INDEX(ETAPP!B$1:B$32,MATCH(COUNTIF(P45:AB45,PIV!A$11),ETAPP!A$1:A$32,0))&amp;INDEX(ETAPP!B$1:B$32,MATCH(COUNTIF(P45:AB45,PIV!A$12),ETAPP!A$1:A$32,0))&amp;INDEX(ETAPP!B$1:B$32,MATCH(COUNTIF(P45:AB45,PIV!A$13),ETAPP!A$1:A$32,0))&amp;INDEX(ETAPP!B$1:B$32,MATCH(COUNTIF(P45:AB45,PIV!A$14),ETAPP!A$1:A$32,0))&amp;INDEX(ETAPP!B$1:B$32,MATCH(COUNTIF(P45:AB45,PIV!A$15),ETAPP!A$1:A$32,0))&amp;INDEX(ETAPP!B$1:B$32,MATCH(COUNTIF(P45:AB45,PIV!A$16),ETAPP!A$1:A$32,0))&amp;INDEX(ETAPP!B$1:B$32,MATCH(COUNTIF(P45:AB45,PIV!A$17),ETAPP!A$1:A$32,0))&amp;INDEX(ETAPP!B$1:B$32,MATCH(COUNTIF(P45:AB45,PIV!A$18),ETAPP!A$1:A$32,0))&amp;INDEX(ETAPP!B$1:B$32,MATCH(COUNTIF(P45:AB45,PIV!A$19),ETAPP!A$1:A$32,0))</f>
        <v>000000A00000000000G</v>
      </c>
      <c r="K45" s="164" t="str">
        <f t="shared" si="13"/>
        <v>020,0-000000A00000000000G</v>
      </c>
      <c r="L45" s="127">
        <f>COUNTIF(K$8:K$53,"&gt;="&amp;K45)</f>
        <v>41</v>
      </c>
      <c r="M45" s="127">
        <f>COUNTIF(F$8:F$53,"&gt;="&amp;F45)</f>
        <v>36</v>
      </c>
      <c r="N45" s="164" t="str">
        <f t="shared" si="14"/>
        <v>020,0-000000A00000000000G-036</v>
      </c>
      <c r="O45" s="844">
        <f>COUNTIF(N$8:N$53,"&lt;="&amp;N45)</f>
        <v>8</v>
      </c>
      <c r="P45" s="128" t="str">
        <f>IFERROR(INDEX('1'!C$300:C$400,MATCH("*"&amp;F45&amp;"*",'1'!B$300:B$400,0)),"  ")</f>
        <v xml:space="preserve">  </v>
      </c>
      <c r="Q45" s="129" t="str">
        <f>IFERROR(INDEX('2'!C$300:C$400,MATCH("*"&amp;F45&amp;"*",'2'!B$300:B$400,0)),"  ")</f>
        <v xml:space="preserve">  </v>
      </c>
      <c r="R45" s="129" t="str">
        <f>IFERROR(INDEX('3'!C$300:C$400,MATCH("*"&amp;F45&amp;"*",'3'!B$300:B$400,0)),"  ")</f>
        <v xml:space="preserve">  </v>
      </c>
      <c r="S45" s="129">
        <f>IFERROR(INDEX('4'!C$300:C$400,MATCH("*"&amp;F45&amp;"*",'4'!B$300:B$400,0)),"  ")</f>
        <v>20</v>
      </c>
      <c r="T45" s="129" t="str">
        <f>IFERROR(INDEX('5'!C$300:C$400,MATCH("*"&amp;F45&amp;"*",'5'!B$300:B$400,0)),"  ")</f>
        <v xml:space="preserve">  </v>
      </c>
      <c r="U45" s="129" t="str">
        <f>IFERROR(INDEX('6'!C$300:C$400,MATCH("*"&amp;F45&amp;"*",'6'!B$300:B$400,0)),"  ")</f>
        <v xml:space="preserve">  </v>
      </c>
      <c r="V45" s="129" t="str">
        <f>IFERROR(INDEX('7'!C$300:C$400,MATCH("*"&amp;F45&amp;"*",'7'!B$300:B$400,0)),"  ")</f>
        <v xml:space="preserve">  </v>
      </c>
      <c r="W45" s="129" t="str">
        <f>IFERROR(INDEX('8'!C$300:C$400,MATCH("*"&amp;F45&amp;"*",'8'!B$300:B$400,0)),"  ")</f>
        <v xml:space="preserve">  </v>
      </c>
      <c r="X45" s="129" t="str">
        <f>IFERROR(INDEX('9'!C$300:C$400,MATCH("*"&amp;F45&amp;"*",'9'!B$300:B$400,0)),"  ")</f>
        <v xml:space="preserve">  </v>
      </c>
      <c r="Y45" s="129" t="str">
        <f>IFERROR(INDEX('10'!C$300:C$400,MATCH("*"&amp;F45&amp;"*",'10'!B$300:B$400,0)),"  ")</f>
        <v xml:space="preserve">  </v>
      </c>
      <c r="Z45" s="128" t="str">
        <f>IFERROR(INDEX('11'!C$300:C$400,MATCH("*"&amp;F45&amp;"*",'11'!B$300:B$400,0)),"  ")</f>
        <v xml:space="preserve">  </v>
      </c>
      <c r="AA45" s="129" t="str">
        <f>IFERROR(INDEX('12'!C$300:C$400,MATCH("*"&amp;F45&amp;"*",'12'!B$300:B$400,0)),"  ")</f>
        <v xml:space="preserve">  </v>
      </c>
      <c r="AB45" s="129" t="str">
        <f>IFERROR(INDEX('13'!C$300:C$400,MATCH("*"&amp;F45&amp;"*",'13'!B$300:B$400,0)),"  ")</f>
        <v xml:space="preserve">  </v>
      </c>
      <c r="AC45" s="130">
        <f t="shared" si="15"/>
        <v>1</v>
      </c>
      <c r="AD45" s="130">
        <f t="shared" si="16"/>
        <v>0</v>
      </c>
      <c r="AE45" s="130">
        <f t="shared" si="17"/>
        <v>0</v>
      </c>
      <c r="AF45" s="1346">
        <f t="shared" si="7"/>
        <v>1E-4</v>
      </c>
      <c r="AG45" s="1346">
        <f t="shared" si="8"/>
        <v>2.0000000000000001E-4</v>
      </c>
      <c r="AH45" s="1346">
        <f t="shared" si="9"/>
        <v>2.9999999999999997E-4</v>
      </c>
      <c r="AI45" s="1346">
        <f t="shared" si="10"/>
        <v>5.0000000000000001E-4</v>
      </c>
    </row>
    <row r="46" spans="1:35" ht="12.75" customHeight="1" x14ac:dyDescent="0.2">
      <c r="A46" s="978" t="str">
        <f>IF(B46="","",COUNTIF(B$8:B$53,"&gt;="&amp;B46))</f>
        <v/>
      </c>
      <c r="B46" s="165" t="str">
        <f t="shared" si="11"/>
        <v/>
      </c>
      <c r="C46" s="1016" t="str">
        <f>IF(D46="","",COUNTIF(D$8:D$53,"&gt;="&amp;D46))</f>
        <v/>
      </c>
      <c r="D46" s="168" t="str">
        <f t="shared" si="12"/>
        <v/>
      </c>
      <c r="E46" s="1314">
        <f>RANK(L46,L$8:L$53,1)</f>
        <v>37</v>
      </c>
      <c r="F46" s="30" t="s">
        <v>123</v>
      </c>
      <c r="G46" s="149"/>
      <c r="H46" s="150"/>
      <c r="I46" s="1379">
        <f>(IF(COUNT(R46,T46,W46,Y46,AB46)&lt;3,SUM(R46,T46,W46,Y46,AB46),SUM(LARGE((R46,T46,W46,Y46,AB46),{1;2;3}))))+(IF(COUNT(Q46,U46,X46,Z46)&lt;3,SUM(Q46,U46,X46,Z46),SUM(LARGE((Q46,U46,X46,Z46),{1;2;3}))))+(IF(COUNT(P46,S46,V46,AA46)&lt;3,SUM(P46,S46,V46,AA46),SUM(LARGE((P46,S46,V46,AA46),{1;2;3}))))</f>
        <v>20</v>
      </c>
      <c r="J46" s="164" t="str">
        <f>INDEX(ETAPP!B$1:B$32,MATCH(COUNTIF(P46:AB46,PIV!A$1),ETAPP!A$1:A$32,0))&amp;INDEX(ETAPP!B$1:B$32,MATCH(COUNTIF(P46:AB46,PIV!A$2),ETAPP!A$1:A$32,0))&amp;INDEX(ETAPP!B$1:B$32,MATCH(COUNTIF(P46:AB46,PIV!A$3),ETAPP!A$1:A$32,0))&amp;INDEX(ETAPP!B$1:B$32,MATCH(COUNTIF(P46:AB46,PIV!A$4),ETAPP!A$1:A$32,0))&amp;INDEX(ETAPP!B$1:B$32,MATCH(COUNTIF(P46:AB46,PIV!A$5),ETAPP!A$1:A$32,0))&amp;INDEX(ETAPP!B$1:B$32,MATCH(COUNTIF(P46:AB46,PIV!A$6),ETAPP!A$1:A$32,0))&amp;INDEX(ETAPP!B$1:B$32,MATCH(COUNTIF(P46:AB46,PIV!A$7),ETAPP!A$1:A$32,0))&amp;INDEX(ETAPP!B$1:B$32,MATCH(COUNTIF(P46:AB46,PIV!A$8),ETAPP!A$1:A$32,0))&amp;INDEX(ETAPP!B$1:B$32,MATCH(COUNTIF(P46:AB46,PIV!A$9),ETAPP!A$1:A$32,0))&amp;INDEX(ETAPP!B$1:B$32,MATCH(COUNTIF(P46:AB46,PIV!A$10),ETAPP!A$1:A$32,0))&amp;INDEX(ETAPP!B$1:B$32,MATCH(COUNTIF(P46:AB46,PIV!A$11),ETAPP!A$1:A$32,0))&amp;INDEX(ETAPP!B$1:B$32,MATCH(COUNTIF(P46:AB46,PIV!A$12),ETAPP!A$1:A$32,0))&amp;INDEX(ETAPP!B$1:B$32,MATCH(COUNTIF(P46:AB46,PIV!A$13),ETAPP!A$1:A$32,0))&amp;INDEX(ETAPP!B$1:B$32,MATCH(COUNTIF(P46:AB46,PIV!A$14),ETAPP!A$1:A$32,0))&amp;INDEX(ETAPP!B$1:B$32,MATCH(COUNTIF(P46:AB46,PIV!A$15),ETAPP!A$1:A$32,0))&amp;INDEX(ETAPP!B$1:B$32,MATCH(COUNTIF(P46:AB46,PIV!A$16),ETAPP!A$1:A$32,0))&amp;INDEX(ETAPP!B$1:B$32,MATCH(COUNTIF(P46:AB46,PIV!A$17),ETAPP!A$1:A$32,0))&amp;INDEX(ETAPP!B$1:B$32,MATCH(COUNTIF(P46:AB46,PIV!A$18),ETAPP!A$1:A$32,0))&amp;INDEX(ETAPP!B$1:B$32,MATCH(COUNTIF(P46:AB46,PIV!A$19),ETAPP!A$1:A$32,0))</f>
        <v>000000A00000000000G</v>
      </c>
      <c r="K46" s="164" t="str">
        <f t="shared" si="13"/>
        <v>020,0-000000A00000000000G</v>
      </c>
      <c r="L46" s="127">
        <f>COUNTIF(K$8:K$53,"&gt;="&amp;K46)</f>
        <v>41</v>
      </c>
      <c r="M46" s="127">
        <f>COUNTIF(F$8:F$53,"&gt;="&amp;F46)</f>
        <v>2</v>
      </c>
      <c r="N46" s="164" t="str">
        <f t="shared" si="14"/>
        <v>020,0-000000A00000000000G-002</v>
      </c>
      <c r="O46" s="844">
        <f>COUNTIF(N$8:N$53,"&lt;="&amp;N46)</f>
        <v>6</v>
      </c>
      <c r="P46" s="128" t="str">
        <f>IFERROR(INDEX('1'!C$300:C$400,MATCH("*"&amp;F46&amp;"*",'1'!B$300:B$400,0)),"  ")</f>
        <v xml:space="preserve">  </v>
      </c>
      <c r="Q46" s="129" t="str">
        <f>IFERROR(INDEX('2'!C$300:C$400,MATCH("*"&amp;F46&amp;"*",'2'!B$300:B$400,0)),"  ")</f>
        <v xml:space="preserve">  </v>
      </c>
      <c r="R46" s="129" t="str">
        <f>IFERROR(INDEX('3'!C$300:C$400,MATCH("*"&amp;F46&amp;"*",'3'!B$300:B$400,0)),"  ")</f>
        <v xml:space="preserve">  </v>
      </c>
      <c r="S46" s="129">
        <f>IFERROR(INDEX('4'!C$300:C$400,MATCH("*"&amp;F46&amp;"*",'4'!B$300:B$400,0)),"  ")</f>
        <v>20</v>
      </c>
      <c r="T46" s="129" t="str">
        <f>IFERROR(INDEX('5'!C$300:C$400,MATCH("*"&amp;F46&amp;"*",'5'!B$300:B$400,0)),"  ")</f>
        <v xml:space="preserve">  </v>
      </c>
      <c r="U46" s="129" t="str">
        <f>IFERROR(INDEX('6'!C$300:C$400,MATCH("*"&amp;F46&amp;"*",'6'!B$300:B$400,0)),"  ")</f>
        <v xml:space="preserve">  </v>
      </c>
      <c r="V46" s="129" t="str">
        <f>IFERROR(INDEX('7'!C$300:C$400,MATCH("*"&amp;F46&amp;"*",'7'!B$300:B$400,0)),"  ")</f>
        <v xml:space="preserve">  </v>
      </c>
      <c r="W46" s="129" t="str">
        <f>IFERROR(INDEX('8'!C$300:C$400,MATCH("*"&amp;F46&amp;"*",'8'!B$300:B$400,0)),"  ")</f>
        <v xml:space="preserve">  </v>
      </c>
      <c r="X46" s="129" t="str">
        <f>IFERROR(INDEX('9'!C$300:C$400,MATCH("*"&amp;F46&amp;"*",'9'!B$300:B$400,0)),"  ")</f>
        <v xml:space="preserve">  </v>
      </c>
      <c r="Y46" s="129" t="str">
        <f>IFERROR(INDEX('10'!C$300:C$400,MATCH("*"&amp;F46&amp;"*",'10'!B$300:B$400,0)),"  ")</f>
        <v xml:space="preserve">  </v>
      </c>
      <c r="Z46" s="128" t="str">
        <f>IFERROR(INDEX('11'!C$300:C$400,MATCH("*"&amp;F46&amp;"*",'11'!B$300:B$400,0)),"  ")</f>
        <v xml:space="preserve">  </v>
      </c>
      <c r="AA46" s="129" t="str">
        <f>IFERROR(INDEX('12'!C$300:C$400,MATCH("*"&amp;F46&amp;"*",'12'!B$300:B$400,0)),"  ")</f>
        <v xml:space="preserve">  </v>
      </c>
      <c r="AB46" s="129" t="str">
        <f>IFERROR(INDEX('13'!C$300:C$400,MATCH("*"&amp;F46&amp;"*",'13'!B$300:B$400,0)),"  ")</f>
        <v xml:space="preserve">  </v>
      </c>
      <c r="AC46" s="130">
        <f t="shared" si="15"/>
        <v>1</v>
      </c>
      <c r="AD46" s="130">
        <f t="shared" si="16"/>
        <v>0</v>
      </c>
      <c r="AE46" s="130">
        <f t="shared" si="17"/>
        <v>0</v>
      </c>
      <c r="AF46" s="1346">
        <f t="shared" si="7"/>
        <v>1E-4</v>
      </c>
      <c r="AG46" s="1346">
        <f t="shared" si="8"/>
        <v>2.0000000000000001E-4</v>
      </c>
      <c r="AH46" s="1346">
        <f t="shared" si="9"/>
        <v>2.9999999999999997E-4</v>
      </c>
      <c r="AI46" s="1346">
        <f t="shared" si="10"/>
        <v>5.0000000000000001E-4</v>
      </c>
    </row>
    <row r="47" spans="1:35" ht="12.75" customHeight="1" x14ac:dyDescent="0.2">
      <c r="A47" s="978" t="str">
        <f>IF(B47="","",COUNTIF(B$8:B$53,"&gt;="&amp;B47))</f>
        <v/>
      </c>
      <c r="B47" s="165" t="str">
        <f t="shared" si="11"/>
        <v/>
      </c>
      <c r="C47" s="1016" t="str">
        <f>IF(D47="","",COUNTIF(D$8:D$53,"&gt;="&amp;D47))</f>
        <v/>
      </c>
      <c r="D47" s="168" t="str">
        <f t="shared" si="12"/>
        <v/>
      </c>
      <c r="E47" s="1314">
        <f>RANK(L47,L$8:L$53,1)</f>
        <v>37</v>
      </c>
      <c r="F47" s="183" t="s">
        <v>640</v>
      </c>
      <c r="G47" s="149"/>
      <c r="H47" s="150"/>
      <c r="I47" s="1379">
        <f>(IF(COUNT(R47,T47,W47,Y47,AB47)&lt;3,SUM(R47,T47,W47,Y47,AB47),SUM(LARGE((R47,T47,W47,Y47,AB47),{1;2;3}))))+(IF(COUNT(Q47,U47,X47,Z47)&lt;3,SUM(Q47,U47,X47,Z47),SUM(LARGE((Q47,U47,X47,Z47),{1;2;3}))))+(IF(COUNT(P47,S47,V47,AA47)&lt;3,SUM(P47,S47,V47,AA47),SUM(LARGE((P47,S47,V47,AA47),{1;2;3}))))</f>
        <v>20</v>
      </c>
      <c r="J47" s="164" t="str">
        <f>INDEX(ETAPP!B$1:B$32,MATCH(COUNTIF(P47:AB47,PIV!A$1),ETAPP!A$1:A$32,0))&amp;INDEX(ETAPP!B$1:B$32,MATCH(COUNTIF(P47:AB47,PIV!A$2),ETAPP!A$1:A$32,0))&amp;INDEX(ETAPP!B$1:B$32,MATCH(COUNTIF(P47:AB47,PIV!A$3),ETAPP!A$1:A$32,0))&amp;INDEX(ETAPP!B$1:B$32,MATCH(COUNTIF(P47:AB47,PIV!A$4),ETAPP!A$1:A$32,0))&amp;INDEX(ETAPP!B$1:B$32,MATCH(COUNTIF(P47:AB47,PIV!A$5),ETAPP!A$1:A$32,0))&amp;INDEX(ETAPP!B$1:B$32,MATCH(COUNTIF(P47:AB47,PIV!A$6),ETAPP!A$1:A$32,0))&amp;INDEX(ETAPP!B$1:B$32,MATCH(COUNTIF(P47:AB47,PIV!A$7),ETAPP!A$1:A$32,0))&amp;INDEX(ETAPP!B$1:B$32,MATCH(COUNTIF(P47:AB47,PIV!A$8),ETAPP!A$1:A$32,0))&amp;INDEX(ETAPP!B$1:B$32,MATCH(COUNTIF(P47:AB47,PIV!A$9),ETAPP!A$1:A$32,0))&amp;INDEX(ETAPP!B$1:B$32,MATCH(COUNTIF(P47:AB47,PIV!A$10),ETAPP!A$1:A$32,0))&amp;INDEX(ETAPP!B$1:B$32,MATCH(COUNTIF(P47:AB47,PIV!A$11),ETAPP!A$1:A$32,0))&amp;INDEX(ETAPP!B$1:B$32,MATCH(COUNTIF(P47:AB47,PIV!A$12),ETAPP!A$1:A$32,0))&amp;INDEX(ETAPP!B$1:B$32,MATCH(COUNTIF(P47:AB47,PIV!A$13),ETAPP!A$1:A$32,0))&amp;INDEX(ETAPP!B$1:B$32,MATCH(COUNTIF(P47:AB47,PIV!A$14),ETAPP!A$1:A$32,0))&amp;INDEX(ETAPP!B$1:B$32,MATCH(COUNTIF(P47:AB47,PIV!A$15),ETAPP!A$1:A$32,0))&amp;INDEX(ETAPP!B$1:B$32,MATCH(COUNTIF(P47:AB47,PIV!A$16),ETAPP!A$1:A$32,0))&amp;INDEX(ETAPP!B$1:B$32,MATCH(COUNTIF(P47:AB47,PIV!A$17),ETAPP!A$1:A$32,0))&amp;INDEX(ETAPP!B$1:B$32,MATCH(COUNTIF(P47:AB47,PIV!A$18),ETAPP!A$1:A$32,0))&amp;INDEX(ETAPP!B$1:B$32,MATCH(COUNTIF(P47:AB47,PIV!A$19),ETAPP!A$1:A$32,0))</f>
        <v>000000A00000000000G</v>
      </c>
      <c r="K47" s="164" t="str">
        <f t="shared" si="13"/>
        <v>020,0-000000A00000000000G</v>
      </c>
      <c r="L47" s="127">
        <f>COUNTIF(K$8:K$53,"&gt;="&amp;K47)</f>
        <v>41</v>
      </c>
      <c r="M47" s="127">
        <f>COUNTIF(F$8:F$53,"&gt;="&amp;F47)</f>
        <v>37</v>
      </c>
      <c r="N47" s="164" t="str">
        <f t="shared" si="14"/>
        <v>020,0-000000A00000000000G-037</v>
      </c>
      <c r="O47" s="844">
        <f>COUNTIF(N$8:N$53,"&lt;="&amp;N47)</f>
        <v>9</v>
      </c>
      <c r="P47" s="128" t="str">
        <f>IFERROR(INDEX('1'!C$300:C$400,MATCH("*"&amp;F47&amp;"*",'1'!B$300:B$400,0)),"  ")</f>
        <v xml:space="preserve">  </v>
      </c>
      <c r="Q47" s="129" t="str">
        <f>IFERROR(INDEX('2'!C$300:C$400,MATCH("*"&amp;F47&amp;"*",'2'!B$300:B$400,0)),"  ")</f>
        <v xml:space="preserve">  </v>
      </c>
      <c r="R47" s="129" t="str">
        <f>IFERROR(INDEX('3'!C$300:C$400,MATCH("*"&amp;F47&amp;"*",'3'!B$300:B$400,0)),"  ")</f>
        <v xml:space="preserve">  </v>
      </c>
      <c r="S47" s="129" t="str">
        <f>IFERROR(INDEX('4'!C$300:C$400,MATCH("*"&amp;F47&amp;"*",'4'!B$300:B$400,0)),"  ")</f>
        <v xml:space="preserve">  </v>
      </c>
      <c r="T47" s="129" t="str">
        <f>IFERROR(INDEX('5'!C$300:C$400,MATCH("*"&amp;F47&amp;"*",'5'!B$300:B$400,0)),"  ")</f>
        <v xml:space="preserve">  </v>
      </c>
      <c r="U47" s="129" t="str">
        <f>IFERROR(INDEX('6'!C$300:C$400,MATCH("*"&amp;F47&amp;"*",'6'!B$300:B$400,0)),"  ")</f>
        <v xml:space="preserve">  </v>
      </c>
      <c r="V47" s="129" t="str">
        <f>IFERROR(INDEX('7'!C$300:C$400,MATCH("*"&amp;F47&amp;"*",'7'!B$300:B$400,0)),"  ")</f>
        <v xml:space="preserve">  </v>
      </c>
      <c r="W47" s="129" t="str">
        <f>IFERROR(INDEX('8'!C$300:C$400,MATCH("*"&amp;F47&amp;"*",'8'!B$300:B$400,0)),"  ")</f>
        <v xml:space="preserve">  </v>
      </c>
      <c r="X47" s="129" t="str">
        <f>IFERROR(INDEX('9'!C$300:C$400,MATCH("*"&amp;F47&amp;"*",'9'!B$300:B$400,0)),"  ")</f>
        <v xml:space="preserve">  </v>
      </c>
      <c r="Y47" s="129" t="str">
        <f>IFERROR(INDEX('10'!C$300:C$400,MATCH("*"&amp;F47&amp;"*",'10'!B$300:B$400,0)),"  ")</f>
        <v xml:space="preserve">  </v>
      </c>
      <c r="Z47" s="128">
        <f>IFERROR(INDEX('11'!C$300:C$400,MATCH("*"&amp;F47&amp;"*",'11'!B$300:B$400,0)),"  ")</f>
        <v>20</v>
      </c>
      <c r="AA47" s="129" t="str">
        <f>IFERROR(INDEX('12'!C$300:C$400,MATCH("*"&amp;F47&amp;"*",'12'!B$300:B$400,0)),"  ")</f>
        <v xml:space="preserve">  </v>
      </c>
      <c r="AB47" s="129" t="str">
        <f>IFERROR(INDEX('13'!C$300:C$400,MATCH("*"&amp;F47&amp;"*",'13'!B$300:B$400,0)),"  ")</f>
        <v xml:space="preserve">  </v>
      </c>
      <c r="AC47" s="130">
        <f t="shared" si="15"/>
        <v>1</v>
      </c>
      <c r="AD47" s="130">
        <f t="shared" si="16"/>
        <v>0</v>
      </c>
      <c r="AE47" s="130">
        <f t="shared" si="17"/>
        <v>0</v>
      </c>
      <c r="AF47" s="1346">
        <f t="shared" si="7"/>
        <v>1E-4</v>
      </c>
      <c r="AG47" s="1346">
        <f t="shared" si="8"/>
        <v>2.0000000000000001E-4</v>
      </c>
      <c r="AH47" s="1346">
        <f t="shared" si="9"/>
        <v>2.9999999999999997E-4</v>
      </c>
      <c r="AI47" s="1346">
        <f t="shared" si="10"/>
        <v>5.0000000000000001E-4</v>
      </c>
    </row>
    <row r="48" spans="1:35" ht="12.75" customHeight="1" x14ac:dyDescent="0.2">
      <c r="A48" s="978" t="str">
        <f>IF(B48="","",COUNTIF(B$8:B$53,"&gt;="&amp;B48))</f>
        <v/>
      </c>
      <c r="B48" s="165" t="str">
        <f t="shared" si="11"/>
        <v/>
      </c>
      <c r="C48" s="1016" t="str">
        <f>IF(D48="","",COUNTIF(D$8:D$53,"&gt;="&amp;D48))</f>
        <v/>
      </c>
      <c r="D48" s="168" t="str">
        <f t="shared" si="12"/>
        <v/>
      </c>
      <c r="E48" s="1314">
        <f>RANK(L48,L$8:L$53,1)</f>
        <v>37</v>
      </c>
      <c r="F48" s="30" t="s">
        <v>120</v>
      </c>
      <c r="G48" s="149"/>
      <c r="H48" s="150"/>
      <c r="I48" s="1379">
        <f>(IF(COUNT(R48,T48,W48,Y48,AB48)&lt;3,SUM(R48,T48,W48,Y48,AB48),SUM(LARGE((R48,T48,W48,Y48,AB48),{1;2;3}))))+(IF(COUNT(Q48,U48,X48,Z48)&lt;3,SUM(Q48,U48,X48,Z48),SUM(LARGE((Q48,U48,X48,Z48),{1;2;3}))))+(IF(COUNT(P48,S48,V48,AA48)&lt;3,SUM(P48,S48,V48,AA48),SUM(LARGE((P48,S48,V48,AA48),{1;2;3}))))</f>
        <v>20</v>
      </c>
      <c r="J48" s="164" t="str">
        <f>INDEX(ETAPP!B$1:B$32,MATCH(COUNTIF(P48:AB48,PIV!A$1),ETAPP!A$1:A$32,0))&amp;INDEX(ETAPP!B$1:B$32,MATCH(COUNTIF(P48:AB48,PIV!A$2),ETAPP!A$1:A$32,0))&amp;INDEX(ETAPP!B$1:B$32,MATCH(COUNTIF(P48:AB48,PIV!A$3),ETAPP!A$1:A$32,0))&amp;INDEX(ETAPP!B$1:B$32,MATCH(COUNTIF(P48:AB48,PIV!A$4),ETAPP!A$1:A$32,0))&amp;INDEX(ETAPP!B$1:B$32,MATCH(COUNTIF(P48:AB48,PIV!A$5),ETAPP!A$1:A$32,0))&amp;INDEX(ETAPP!B$1:B$32,MATCH(COUNTIF(P48:AB48,PIV!A$6),ETAPP!A$1:A$32,0))&amp;INDEX(ETAPP!B$1:B$32,MATCH(COUNTIF(P48:AB48,PIV!A$7),ETAPP!A$1:A$32,0))&amp;INDEX(ETAPP!B$1:B$32,MATCH(COUNTIF(P48:AB48,PIV!A$8),ETAPP!A$1:A$32,0))&amp;INDEX(ETAPP!B$1:B$32,MATCH(COUNTIF(P48:AB48,PIV!A$9),ETAPP!A$1:A$32,0))&amp;INDEX(ETAPP!B$1:B$32,MATCH(COUNTIF(P48:AB48,PIV!A$10),ETAPP!A$1:A$32,0))&amp;INDEX(ETAPP!B$1:B$32,MATCH(COUNTIF(P48:AB48,PIV!A$11),ETAPP!A$1:A$32,0))&amp;INDEX(ETAPP!B$1:B$32,MATCH(COUNTIF(P48:AB48,PIV!A$12),ETAPP!A$1:A$32,0))&amp;INDEX(ETAPP!B$1:B$32,MATCH(COUNTIF(P48:AB48,PIV!A$13),ETAPP!A$1:A$32,0))&amp;INDEX(ETAPP!B$1:B$32,MATCH(COUNTIF(P48:AB48,PIV!A$14),ETAPP!A$1:A$32,0))&amp;INDEX(ETAPP!B$1:B$32,MATCH(COUNTIF(P48:AB48,PIV!A$15),ETAPP!A$1:A$32,0))&amp;INDEX(ETAPP!B$1:B$32,MATCH(COUNTIF(P48:AB48,PIV!A$16),ETAPP!A$1:A$32,0))&amp;INDEX(ETAPP!B$1:B$32,MATCH(COUNTIF(P48:AB48,PIV!A$17),ETAPP!A$1:A$32,0))&amp;INDEX(ETAPP!B$1:B$32,MATCH(COUNTIF(P48:AB48,PIV!A$18),ETAPP!A$1:A$32,0))&amp;INDEX(ETAPP!B$1:B$32,MATCH(COUNTIF(P48:AB48,PIV!A$19),ETAPP!A$1:A$32,0))</f>
        <v>000000A00000000000G</v>
      </c>
      <c r="K48" s="164" t="str">
        <f t="shared" si="13"/>
        <v>020,0-000000A00000000000G</v>
      </c>
      <c r="L48" s="127">
        <f>COUNTIF(K$8:K$53,"&gt;="&amp;K48)</f>
        <v>41</v>
      </c>
      <c r="M48" s="127">
        <f>COUNTIF(F$8:F$53,"&gt;="&amp;F48)</f>
        <v>5</v>
      </c>
      <c r="N48" s="164" t="str">
        <f t="shared" si="14"/>
        <v>020,0-000000A00000000000G-005</v>
      </c>
      <c r="O48" s="844">
        <f>COUNTIF(N$8:N$53,"&lt;="&amp;N48)</f>
        <v>7</v>
      </c>
      <c r="P48" s="128" t="str">
        <f>IFERROR(INDEX('1'!C$300:C$400,MATCH("*"&amp;F48&amp;"*",'1'!B$300:B$400,0)),"  ")</f>
        <v xml:space="preserve">  </v>
      </c>
      <c r="Q48" s="129" t="str">
        <f>IFERROR(INDEX('2'!C$300:C$400,MATCH("*"&amp;F48&amp;"*",'2'!B$300:B$400,0)),"  ")</f>
        <v xml:space="preserve">  </v>
      </c>
      <c r="R48" s="129" t="str">
        <f>IFERROR(INDEX('3'!C$300:C$400,MATCH("*"&amp;F48&amp;"*",'3'!B$300:B$400,0)),"  ")</f>
        <v xml:space="preserve">  </v>
      </c>
      <c r="S48" s="129" t="str">
        <f>IFERROR(INDEX('4'!C$300:C$400,MATCH("*"&amp;F48&amp;"*",'4'!B$300:B$400,0)),"  ")</f>
        <v xml:space="preserve">  </v>
      </c>
      <c r="T48" s="129" t="str">
        <f>IFERROR(INDEX('5'!C$300:C$400,MATCH("*"&amp;F48&amp;"*",'5'!B$300:B$400,0)),"  ")</f>
        <v xml:space="preserve">  </v>
      </c>
      <c r="U48" s="129" t="str">
        <f>IFERROR(INDEX('6'!C$300:C$400,MATCH("*"&amp;F48&amp;"*",'6'!B$300:B$400,0)),"  ")</f>
        <v xml:space="preserve">  </v>
      </c>
      <c r="V48" s="129">
        <f>IFERROR(INDEX('7'!C$300:C$400,MATCH("*"&amp;F48&amp;"*",'7'!B$300:B$400,0)),"  ")</f>
        <v>20</v>
      </c>
      <c r="W48" s="129" t="str">
        <f>IFERROR(INDEX('8'!C$300:C$400,MATCH("*"&amp;F48&amp;"*",'8'!B$300:B$400,0)),"  ")</f>
        <v xml:space="preserve">  </v>
      </c>
      <c r="X48" s="129" t="str">
        <f>IFERROR(INDEX('9'!C$300:C$400,MATCH("*"&amp;F48&amp;"*",'9'!B$300:B$400,0)),"  ")</f>
        <v xml:space="preserve">  </v>
      </c>
      <c r="Y48" s="129" t="str">
        <f>IFERROR(INDEX('10'!C$300:C$400,MATCH("*"&amp;F48&amp;"*",'10'!B$300:B$400,0)),"  ")</f>
        <v xml:space="preserve">  </v>
      </c>
      <c r="Z48" s="128" t="str">
        <f>IFERROR(INDEX('11'!C$300:C$400,MATCH("*"&amp;F48&amp;"*",'11'!B$300:B$400,0)),"  ")</f>
        <v xml:space="preserve">  </v>
      </c>
      <c r="AA48" s="129" t="str">
        <f>IFERROR(INDEX('12'!C$300:C$400,MATCH("*"&amp;F48&amp;"*",'12'!B$300:B$400,0)),"  ")</f>
        <v xml:space="preserve">  </v>
      </c>
      <c r="AB48" s="129" t="str">
        <f>IFERROR(INDEX('13'!C$300:C$400,MATCH("*"&amp;F48&amp;"*",'13'!B$300:B$400,0)),"  ")</f>
        <v xml:space="preserve">  </v>
      </c>
      <c r="AC48" s="130">
        <f t="shared" si="15"/>
        <v>1</v>
      </c>
      <c r="AD48" s="130">
        <f t="shared" si="16"/>
        <v>0</v>
      </c>
      <c r="AE48" s="130">
        <f t="shared" si="17"/>
        <v>0</v>
      </c>
      <c r="AF48" s="1346">
        <f t="shared" si="7"/>
        <v>1E-4</v>
      </c>
      <c r="AG48" s="1346">
        <f t="shared" si="8"/>
        <v>2.0000000000000001E-4</v>
      </c>
      <c r="AH48" s="1346">
        <f t="shared" si="9"/>
        <v>2.9999999999999997E-4</v>
      </c>
      <c r="AI48" s="1346">
        <f t="shared" si="10"/>
        <v>5.0000000000000001E-4</v>
      </c>
    </row>
    <row r="49" spans="1:35" ht="12.75" customHeight="1" x14ac:dyDescent="0.2">
      <c r="A49" s="978" t="str">
        <f>IF(B49="","",COUNTIF(B$8:B$53,"&gt;="&amp;B49))</f>
        <v/>
      </c>
      <c r="B49" s="165" t="str">
        <f t="shared" si="11"/>
        <v/>
      </c>
      <c r="C49" s="1016" t="str">
        <f>IF(D49="","",COUNTIF(D$8:D$53,"&gt;="&amp;D49))</f>
        <v/>
      </c>
      <c r="D49" s="168" t="str">
        <f t="shared" si="12"/>
        <v/>
      </c>
      <c r="E49" s="1314">
        <f>RANK(L49,L$8:L$53,1)</f>
        <v>42</v>
      </c>
      <c r="F49" s="183" t="s">
        <v>208</v>
      </c>
      <c r="G49" s="149"/>
      <c r="H49" s="150"/>
      <c r="I49" s="1379">
        <f>(IF(COUNT(R49,T49,W49,Y49,AB49)&lt;3,SUM(R49,T49,W49,Y49,AB49),SUM(LARGE((R49,T49,W49,Y49,AB49),{1;2;3}))))+(IF(COUNT(Q49,U49,X49,Z49)&lt;3,SUM(Q49,U49,X49,Z49),SUM(LARGE((Q49,U49,X49,Z49),{1;2;3}))))+(IF(COUNT(P49,S49,V49,AA49)&lt;3,SUM(P49,S49,V49,AA49),SUM(LARGE((P49,S49,V49,AA49),{1;2;3}))))</f>
        <v>18</v>
      </c>
      <c r="J49" s="164" t="str">
        <f>INDEX(ETAPP!B$1:B$32,MATCH(COUNTIF(P49:AB49,PIV!A$1),ETAPP!A$1:A$32,0))&amp;INDEX(ETAPP!B$1:B$32,MATCH(COUNTIF(P49:AB49,PIV!A$2),ETAPP!A$1:A$32,0))&amp;INDEX(ETAPP!B$1:B$32,MATCH(COUNTIF(P49:AB49,PIV!A$3),ETAPP!A$1:A$32,0))&amp;INDEX(ETAPP!B$1:B$32,MATCH(COUNTIF(P49:AB49,PIV!A$4),ETAPP!A$1:A$32,0))&amp;INDEX(ETAPP!B$1:B$32,MATCH(COUNTIF(P49:AB49,PIV!A$5),ETAPP!A$1:A$32,0))&amp;INDEX(ETAPP!B$1:B$32,MATCH(COUNTIF(P49:AB49,PIV!A$6),ETAPP!A$1:A$32,0))&amp;INDEX(ETAPP!B$1:B$32,MATCH(COUNTIF(P49:AB49,PIV!A$7),ETAPP!A$1:A$32,0))&amp;INDEX(ETAPP!B$1:B$32,MATCH(COUNTIF(P49:AB49,PIV!A$8),ETAPP!A$1:A$32,0))&amp;INDEX(ETAPP!B$1:B$32,MATCH(COUNTIF(P49:AB49,PIV!A$9),ETAPP!A$1:A$32,0))&amp;INDEX(ETAPP!B$1:B$32,MATCH(COUNTIF(P49:AB49,PIV!A$10),ETAPP!A$1:A$32,0))&amp;INDEX(ETAPP!B$1:B$32,MATCH(COUNTIF(P49:AB49,PIV!A$11),ETAPP!A$1:A$32,0))&amp;INDEX(ETAPP!B$1:B$32,MATCH(COUNTIF(P49:AB49,PIV!A$12),ETAPP!A$1:A$32,0))&amp;INDEX(ETAPP!B$1:B$32,MATCH(COUNTIF(P49:AB49,PIV!A$13),ETAPP!A$1:A$32,0))&amp;INDEX(ETAPP!B$1:B$32,MATCH(COUNTIF(P49:AB49,PIV!A$14),ETAPP!A$1:A$32,0))&amp;INDEX(ETAPP!B$1:B$32,MATCH(COUNTIF(P49:AB49,PIV!A$15),ETAPP!A$1:A$32,0))&amp;INDEX(ETAPP!B$1:B$32,MATCH(COUNTIF(P49:AB49,PIV!A$16),ETAPP!A$1:A$32,0))&amp;INDEX(ETAPP!B$1:B$32,MATCH(COUNTIF(P49:AB49,PIV!A$17),ETAPP!A$1:A$32,0))&amp;INDEX(ETAPP!B$1:B$32,MATCH(COUNTIF(P49:AB49,PIV!A$18),ETAPP!A$1:A$32,0))&amp;INDEX(ETAPP!B$1:B$32,MATCH(COUNTIF(P49:AB49,PIV!A$19),ETAPP!A$1:A$32,0))</f>
        <v>00000000A000000A00F</v>
      </c>
      <c r="K49" s="164" t="str">
        <f t="shared" si="13"/>
        <v>018,0-00000000A000000A00F</v>
      </c>
      <c r="L49" s="127">
        <f>COUNTIF(K$8:K$53,"&gt;="&amp;K49)</f>
        <v>42</v>
      </c>
      <c r="M49" s="127">
        <f>COUNTIF(F$8:F$53,"&gt;="&amp;F49)</f>
        <v>30</v>
      </c>
      <c r="N49" s="164" t="str">
        <f t="shared" si="14"/>
        <v>018,0-00000000A000000A00F-030</v>
      </c>
      <c r="O49" s="844">
        <f>COUNTIF(N$8:N$53,"&lt;="&amp;N49)</f>
        <v>5</v>
      </c>
      <c r="P49" s="128" t="str">
        <f>IFERROR(INDEX('1'!C$300:C$400,MATCH("*"&amp;F49&amp;"*",'1'!B$300:B$400,0)),"  ")</f>
        <v xml:space="preserve">  </v>
      </c>
      <c r="Q49" s="129" t="str">
        <f>IFERROR(INDEX('2'!C$300:C$400,MATCH("*"&amp;F49&amp;"*",'2'!B$300:B$400,0)),"  ")</f>
        <v xml:space="preserve">  </v>
      </c>
      <c r="R49" s="129" t="str">
        <f>IFERROR(INDEX('3'!C$300:C$400,MATCH("*"&amp;F49&amp;"*",'3'!B$300:B$400,0)),"  ")</f>
        <v xml:space="preserve">  </v>
      </c>
      <c r="S49" s="129">
        <f>IFERROR(INDEX('4'!C$300:C$400,MATCH("*"&amp;F49&amp;"*",'4'!B$300:B$400,0)),"  ")</f>
        <v>16</v>
      </c>
      <c r="T49" s="129" t="str">
        <f>IFERROR(INDEX('5'!C$300:C$400,MATCH("*"&amp;F49&amp;"*",'5'!B$300:B$400,0)),"  ")</f>
        <v xml:space="preserve">  </v>
      </c>
      <c r="U49" s="129" t="str">
        <f>IFERROR(INDEX('6'!C$300:C$400,MATCH("*"&amp;F49&amp;"*",'6'!B$300:B$400,0)),"  ")</f>
        <v xml:space="preserve">  </v>
      </c>
      <c r="V49" s="129" t="str">
        <f>IFERROR(INDEX('7'!C$300:C$400,MATCH("*"&amp;F49&amp;"*",'7'!B$300:B$400,0)),"  ")</f>
        <v xml:space="preserve">  </v>
      </c>
      <c r="W49" s="129" t="str">
        <f>IFERROR(INDEX('8'!C$300:C$400,MATCH("*"&amp;F49&amp;"*",'8'!B$300:B$400,0)),"  ")</f>
        <v xml:space="preserve">  </v>
      </c>
      <c r="X49" s="129" t="str">
        <f>IFERROR(INDEX('9'!C$300:C$400,MATCH("*"&amp;F49&amp;"*",'9'!B$300:B$400,0)),"  ")</f>
        <v xml:space="preserve">  </v>
      </c>
      <c r="Y49" s="129">
        <f>IFERROR(INDEX('10'!C$300:C$400,MATCH("*"&amp;F49&amp;"*",'10'!B$300:B$400,0)),"  ")</f>
        <v>2</v>
      </c>
      <c r="Z49" s="128" t="str">
        <f>IFERROR(INDEX('11'!C$300:C$400,MATCH("*"&amp;F49&amp;"*",'11'!B$300:B$400,0)),"  ")</f>
        <v xml:space="preserve">  </v>
      </c>
      <c r="AA49" s="129" t="str">
        <f>IFERROR(INDEX('12'!C$300:C$400,MATCH("*"&amp;F49&amp;"*",'12'!B$300:B$400,0)),"  ")</f>
        <v xml:space="preserve">  </v>
      </c>
      <c r="AB49" s="129" t="str">
        <f>IFERROR(INDEX('13'!C$300:C$400,MATCH("*"&amp;F49&amp;"*",'13'!B$300:B$400,0)),"  ")</f>
        <v xml:space="preserve">  </v>
      </c>
      <c r="AC49" s="130">
        <f t="shared" si="15"/>
        <v>2</v>
      </c>
      <c r="AD49" s="130">
        <f t="shared" si="16"/>
        <v>0</v>
      </c>
      <c r="AE49" s="130">
        <f t="shared" si="17"/>
        <v>0</v>
      </c>
      <c r="AF49" s="1346">
        <f t="shared" si="7"/>
        <v>1E-4</v>
      </c>
      <c r="AG49" s="1346">
        <f t="shared" si="8"/>
        <v>2.0000000000000001E-4</v>
      </c>
      <c r="AH49" s="1346">
        <f t="shared" si="9"/>
        <v>2.9999999999999997E-4</v>
      </c>
      <c r="AI49" s="1346">
        <f t="shared" si="10"/>
        <v>5.0000000000000001E-4</v>
      </c>
    </row>
    <row r="50" spans="1:35" ht="12.75" customHeight="1" x14ac:dyDescent="0.2">
      <c r="A50" s="978" t="str">
        <f>IF(B50="","",COUNTIF(B$8:B$53,"&gt;="&amp;B50))</f>
        <v/>
      </c>
      <c r="B50" s="165" t="str">
        <f t="shared" si="11"/>
        <v/>
      </c>
      <c r="C50" s="1016" t="str">
        <f>IF(D50="","",COUNTIF(D$8:D$53,"&gt;="&amp;D50))</f>
        <v/>
      </c>
      <c r="D50" s="168" t="str">
        <f t="shared" si="12"/>
        <v/>
      </c>
      <c r="E50" s="1314">
        <f>RANK(L50,L$8:L$53,1)</f>
        <v>43</v>
      </c>
      <c r="F50" s="183" t="s">
        <v>262</v>
      </c>
      <c r="G50" s="149"/>
      <c r="H50" s="150"/>
      <c r="I50" s="1379">
        <f>(IF(COUNT(R50,T50,W50,Y50,AB50)&lt;3,SUM(R50,T50,W50,Y50,AB50),SUM(LARGE((R50,T50,W50,Y50,AB50),{1;2;3}))))+(IF(COUNT(Q50,U50,X50,Z50)&lt;3,SUM(Q50,U50,X50,Z50),SUM(LARGE((Q50,U50,X50,Z50),{1;2;3}))))+(IF(COUNT(P50,S50,V50,AA50)&lt;3,SUM(P50,S50,V50,AA50),SUM(LARGE((P50,S50,V50,AA50),{1;2;3}))))</f>
        <v>14</v>
      </c>
      <c r="J50" s="164" t="str">
        <f>INDEX(ETAPP!B$1:B$32,MATCH(COUNTIF(P50:AB50,PIV!A$1),ETAPP!A$1:A$32,0))&amp;INDEX(ETAPP!B$1:B$32,MATCH(COUNTIF(P50:AB50,PIV!A$2),ETAPP!A$1:A$32,0))&amp;INDEX(ETAPP!B$1:B$32,MATCH(COUNTIF(P50:AB50,PIV!A$3),ETAPP!A$1:A$32,0))&amp;INDEX(ETAPP!B$1:B$32,MATCH(COUNTIF(P50:AB50,PIV!A$4),ETAPP!A$1:A$32,0))&amp;INDEX(ETAPP!B$1:B$32,MATCH(COUNTIF(P50:AB50,PIV!A$5),ETAPP!A$1:A$32,0))&amp;INDEX(ETAPP!B$1:B$32,MATCH(COUNTIF(P50:AB50,PIV!A$6),ETAPP!A$1:A$32,0))&amp;INDEX(ETAPP!B$1:B$32,MATCH(COUNTIF(P50:AB50,PIV!A$7),ETAPP!A$1:A$32,0))&amp;INDEX(ETAPP!B$1:B$32,MATCH(COUNTIF(P50:AB50,PIV!A$8),ETAPP!A$1:A$32,0))&amp;INDEX(ETAPP!B$1:B$32,MATCH(COUNTIF(P50:AB50,PIV!A$9),ETAPP!A$1:A$32,0))&amp;INDEX(ETAPP!B$1:B$32,MATCH(COUNTIF(P50:AB50,PIV!A$10),ETAPP!A$1:A$32,0))&amp;INDEX(ETAPP!B$1:B$32,MATCH(COUNTIF(P50:AB50,PIV!A$11),ETAPP!A$1:A$32,0))&amp;INDEX(ETAPP!B$1:B$32,MATCH(COUNTIF(P50:AB50,PIV!A$12),ETAPP!A$1:A$32,0))&amp;INDEX(ETAPP!B$1:B$32,MATCH(COUNTIF(P50:AB50,PIV!A$13),ETAPP!A$1:A$32,0))&amp;INDEX(ETAPP!B$1:B$32,MATCH(COUNTIF(P50:AB50,PIV!A$14),ETAPP!A$1:A$32,0))&amp;INDEX(ETAPP!B$1:B$32,MATCH(COUNTIF(P50:AB50,PIV!A$15),ETAPP!A$1:A$32,0))&amp;INDEX(ETAPP!B$1:B$32,MATCH(COUNTIF(P50:AB50,PIV!A$16),ETAPP!A$1:A$32,0))&amp;INDEX(ETAPP!B$1:B$32,MATCH(COUNTIF(P50:AB50,PIV!A$17),ETAPP!A$1:A$32,0))&amp;INDEX(ETAPP!B$1:B$32,MATCH(COUNTIF(P50:AB50,PIV!A$18),ETAPP!A$1:A$32,0))&amp;INDEX(ETAPP!B$1:B$32,MATCH(COUNTIF(P50:AB50,PIV!A$19),ETAPP!A$1:A$32,0))</f>
        <v>000000000A00000000G</v>
      </c>
      <c r="K50" s="164" t="str">
        <f t="shared" si="13"/>
        <v>014,0-000000000A00000000G</v>
      </c>
      <c r="L50" s="127">
        <f>COUNTIF(K$8:K$53,"&gt;="&amp;K50)</f>
        <v>43</v>
      </c>
      <c r="M50" s="127">
        <f>COUNTIF(F$8:F$53,"&gt;="&amp;F50)</f>
        <v>9</v>
      </c>
      <c r="N50" s="164" t="str">
        <f t="shared" si="14"/>
        <v>014,0-000000000A00000000G-009</v>
      </c>
      <c r="O50" s="844">
        <f>COUNTIF(N$8:N$53,"&lt;="&amp;N50)</f>
        <v>4</v>
      </c>
      <c r="P50" s="128" t="str">
        <f>IFERROR(INDEX('1'!C$300:C$400,MATCH("*"&amp;F50&amp;"*",'1'!B$300:B$400,0)),"  ")</f>
        <v xml:space="preserve">  </v>
      </c>
      <c r="Q50" s="129" t="str">
        <f>IFERROR(INDEX('2'!C$300:C$400,MATCH("*"&amp;F50&amp;"*",'2'!B$300:B$400,0)),"  ")</f>
        <v xml:space="preserve">  </v>
      </c>
      <c r="R50" s="129" t="str">
        <f>IFERROR(INDEX('3'!C$300:C$400,MATCH("*"&amp;F50&amp;"*",'3'!B$300:B$400,0)),"  ")</f>
        <v xml:space="preserve">  </v>
      </c>
      <c r="S50" s="129">
        <f>IFERROR(INDEX('4'!C$300:C$400,MATCH("*"&amp;F50&amp;"*",'4'!B$300:B$400,0)),"  ")</f>
        <v>14</v>
      </c>
      <c r="T50" s="129" t="str">
        <f>IFERROR(INDEX('5'!C$300:C$400,MATCH("*"&amp;F50&amp;"*",'5'!B$300:B$400,0)),"  ")</f>
        <v xml:space="preserve">  </v>
      </c>
      <c r="U50" s="129" t="str">
        <f>IFERROR(INDEX('6'!C$300:C$400,MATCH("*"&amp;F50&amp;"*",'6'!B$300:B$400,0)),"  ")</f>
        <v xml:space="preserve">  </v>
      </c>
      <c r="V50" s="129" t="str">
        <f>IFERROR(INDEX('7'!C$300:C$400,MATCH("*"&amp;F50&amp;"*",'7'!B$300:B$400,0)),"  ")</f>
        <v xml:space="preserve">  </v>
      </c>
      <c r="W50" s="129" t="str">
        <f>IFERROR(INDEX('8'!C$300:C$400,MATCH("*"&amp;F50&amp;"*",'8'!B$300:B$400,0)),"  ")</f>
        <v xml:space="preserve">  </v>
      </c>
      <c r="X50" s="129" t="str">
        <f>IFERROR(INDEX('9'!C$300:C$400,MATCH("*"&amp;F50&amp;"*",'9'!B$300:B$400,0)),"  ")</f>
        <v xml:space="preserve">  </v>
      </c>
      <c r="Y50" s="129" t="str">
        <f>IFERROR(INDEX('10'!C$300:C$400,MATCH("*"&amp;F50&amp;"*",'10'!B$300:B$400,0)),"  ")</f>
        <v xml:space="preserve">  </v>
      </c>
      <c r="Z50" s="128" t="str">
        <f>IFERROR(INDEX('11'!C$300:C$400,MATCH("*"&amp;F50&amp;"*",'11'!B$300:B$400,0)),"  ")</f>
        <v xml:space="preserve">  </v>
      </c>
      <c r="AA50" s="129" t="str">
        <f>IFERROR(INDEX('12'!C$300:C$400,MATCH("*"&amp;F50&amp;"*",'12'!B$300:B$400,0)),"  ")</f>
        <v xml:space="preserve">  </v>
      </c>
      <c r="AB50" s="129" t="str">
        <f>IFERROR(INDEX('13'!C$300:C$400,MATCH("*"&amp;F50&amp;"*",'13'!B$300:B$400,0)),"  ")</f>
        <v xml:space="preserve">  </v>
      </c>
      <c r="AC50" s="130">
        <f t="shared" si="15"/>
        <v>1</v>
      </c>
      <c r="AD50" s="130">
        <f t="shared" si="16"/>
        <v>0</v>
      </c>
      <c r="AE50" s="130">
        <f t="shared" si="17"/>
        <v>0</v>
      </c>
      <c r="AF50" s="1346">
        <f t="shared" si="7"/>
        <v>1E-4</v>
      </c>
      <c r="AG50" s="1346">
        <f t="shared" si="8"/>
        <v>2.0000000000000001E-4</v>
      </c>
      <c r="AH50" s="1346">
        <f t="shared" si="9"/>
        <v>2.9999999999999997E-4</v>
      </c>
      <c r="AI50" s="1346">
        <f t="shared" si="10"/>
        <v>5.0000000000000001E-4</v>
      </c>
    </row>
    <row r="51" spans="1:35" s="290" customFormat="1" ht="12.75" customHeight="1" x14ac:dyDescent="0.2">
      <c r="A51" s="978" t="str">
        <f>IF(B51="","",COUNTIF(B$8:B$53,"&gt;="&amp;B51))</f>
        <v/>
      </c>
      <c r="B51" s="165" t="str">
        <f t="shared" si="11"/>
        <v/>
      </c>
      <c r="C51" s="1016" t="str">
        <f>IF(D51="","",COUNTIF(D$8:D$53,"&gt;="&amp;D51))</f>
        <v/>
      </c>
      <c r="D51" s="168" t="str">
        <f t="shared" si="12"/>
        <v/>
      </c>
      <c r="E51" s="1314">
        <f>RANK(L51,L$8:L$53,1)</f>
        <v>44</v>
      </c>
      <c r="F51" s="183" t="s">
        <v>577</v>
      </c>
      <c r="G51" s="149"/>
      <c r="H51" s="150"/>
      <c r="I51" s="1379">
        <f>(IF(COUNT(R51,T51,W51,Y51,AB51)&lt;3,SUM(R51,T51,W51,Y51,AB51),SUM(LARGE((R51,T51,W51,Y51,AB51),{1;2;3}))))+(IF(COUNT(Q51,U51,X51,Z51)&lt;3,SUM(Q51,U51,X51,Z51),SUM(LARGE((Q51,U51,X51,Z51),{1;2;3}))))+(IF(COUNT(P51,S51,V51,AA51)&lt;3,SUM(P51,S51,V51,AA51),SUM(LARGE((P51,S51,V51,AA51),{1;2;3}))))</f>
        <v>10</v>
      </c>
      <c r="J51" s="164" t="str">
        <f>INDEX(ETAPP!B$1:B$32,MATCH(COUNTIF(P51:AB51,PIV!A$1),ETAPP!A$1:A$32,0))&amp;INDEX(ETAPP!B$1:B$32,MATCH(COUNTIF(P51:AB51,PIV!A$2),ETAPP!A$1:A$32,0))&amp;INDEX(ETAPP!B$1:B$32,MATCH(COUNTIF(P51:AB51,PIV!A$3),ETAPP!A$1:A$32,0))&amp;INDEX(ETAPP!B$1:B$32,MATCH(COUNTIF(P51:AB51,PIV!A$4),ETAPP!A$1:A$32,0))&amp;INDEX(ETAPP!B$1:B$32,MATCH(COUNTIF(P51:AB51,PIV!A$5),ETAPP!A$1:A$32,0))&amp;INDEX(ETAPP!B$1:B$32,MATCH(COUNTIF(P51:AB51,PIV!A$6),ETAPP!A$1:A$32,0))&amp;INDEX(ETAPP!B$1:B$32,MATCH(COUNTIF(P51:AB51,PIV!A$7),ETAPP!A$1:A$32,0))&amp;INDEX(ETAPP!B$1:B$32,MATCH(COUNTIF(P51:AB51,PIV!A$8),ETAPP!A$1:A$32,0))&amp;INDEX(ETAPP!B$1:B$32,MATCH(COUNTIF(P51:AB51,PIV!A$9),ETAPP!A$1:A$32,0))&amp;INDEX(ETAPP!B$1:B$32,MATCH(COUNTIF(P51:AB51,PIV!A$10),ETAPP!A$1:A$32,0))&amp;INDEX(ETAPP!B$1:B$32,MATCH(COUNTIF(P51:AB51,PIV!A$11),ETAPP!A$1:A$32,0))&amp;INDEX(ETAPP!B$1:B$32,MATCH(COUNTIF(P51:AB51,PIV!A$12),ETAPP!A$1:A$32,0))&amp;INDEX(ETAPP!B$1:B$32,MATCH(COUNTIF(P51:AB51,PIV!A$13),ETAPP!A$1:A$32,0))&amp;INDEX(ETAPP!B$1:B$32,MATCH(COUNTIF(P51:AB51,PIV!A$14),ETAPP!A$1:A$32,0))&amp;INDEX(ETAPP!B$1:B$32,MATCH(COUNTIF(P51:AB51,PIV!A$15),ETAPP!A$1:A$32,0))&amp;INDEX(ETAPP!B$1:B$32,MATCH(COUNTIF(P51:AB51,PIV!A$16),ETAPP!A$1:A$32,0))&amp;INDEX(ETAPP!B$1:B$32,MATCH(COUNTIF(P51:AB51,PIV!A$17),ETAPP!A$1:A$32,0))&amp;INDEX(ETAPP!B$1:B$32,MATCH(COUNTIF(P51:AB51,PIV!A$18),ETAPP!A$1:A$32,0))&amp;INDEX(ETAPP!B$1:B$32,MATCH(COUNTIF(P51:AB51,PIV!A$19),ETAPP!A$1:A$32,0))</f>
        <v>00000000000A000000G</v>
      </c>
      <c r="K51" s="164" t="str">
        <f t="shared" si="13"/>
        <v>010,0-00000000000A000000G</v>
      </c>
      <c r="L51" s="127">
        <f>COUNTIF(K$8:K$53,"&gt;="&amp;K51)</f>
        <v>45</v>
      </c>
      <c r="M51" s="127">
        <f>COUNTIF(F$8:F$53,"&gt;="&amp;F51)</f>
        <v>38</v>
      </c>
      <c r="N51" s="164" t="str">
        <f t="shared" si="14"/>
        <v>010,0-00000000000A000000G-038</v>
      </c>
      <c r="O51" s="844">
        <f>COUNTIF(N$8:N$53,"&lt;="&amp;N51)</f>
        <v>3</v>
      </c>
      <c r="P51" s="128" t="str">
        <f>IFERROR(INDEX('1'!C$300:C$400,MATCH("*"&amp;F51&amp;"*",'1'!B$300:B$400,0)),"  ")</f>
        <v xml:space="preserve">  </v>
      </c>
      <c r="Q51" s="129" t="str">
        <f>IFERROR(INDEX('2'!C$300:C$400,MATCH("*"&amp;F51&amp;"*",'2'!B$300:B$400,0)),"  ")</f>
        <v xml:space="preserve">  </v>
      </c>
      <c r="R51" s="129" t="str">
        <f>IFERROR(INDEX('3'!C$300:C$400,MATCH("*"&amp;F51&amp;"*",'3'!B$300:B$400,0)),"  ")</f>
        <v xml:space="preserve">  </v>
      </c>
      <c r="S51" s="129" t="str">
        <f>IFERROR(INDEX('4'!C$300:C$400,MATCH("*"&amp;F51&amp;"*",'4'!B$300:B$400,0)),"  ")</f>
        <v xml:space="preserve">  </v>
      </c>
      <c r="T51" s="129" t="str">
        <f>IFERROR(INDEX('5'!C$300:C$400,MATCH("*"&amp;F51&amp;"*",'5'!B$300:B$400,0)),"  ")</f>
        <v xml:space="preserve">  </v>
      </c>
      <c r="U51" s="129">
        <f>IFERROR(INDEX('6'!C$300:C$400,MATCH("*"&amp;F51&amp;"*",'6'!B$300:B$400,0)),"  ")</f>
        <v>10</v>
      </c>
      <c r="V51" s="129" t="str">
        <f>IFERROR(INDEX('7'!C$300:C$400,MATCH("*"&amp;F51&amp;"*",'7'!B$300:B$400,0)),"  ")</f>
        <v xml:space="preserve">  </v>
      </c>
      <c r="W51" s="129" t="str">
        <f>IFERROR(INDEX('8'!C$300:C$400,MATCH("*"&amp;F51&amp;"*",'8'!B$300:B$400,0)),"  ")</f>
        <v xml:space="preserve">  </v>
      </c>
      <c r="X51" s="129" t="str">
        <f>IFERROR(INDEX('9'!C$300:C$400,MATCH("*"&amp;F51&amp;"*",'9'!B$300:B$400,0)),"  ")</f>
        <v xml:space="preserve">  </v>
      </c>
      <c r="Y51" s="129" t="str">
        <f>IFERROR(INDEX('10'!C$300:C$400,MATCH("*"&amp;F51&amp;"*",'10'!B$300:B$400,0)),"  ")</f>
        <v xml:space="preserve">  </v>
      </c>
      <c r="Z51" s="128" t="str">
        <f>IFERROR(INDEX('11'!C$300:C$400,MATCH("*"&amp;F51&amp;"*",'11'!B$300:B$400,0)),"  ")</f>
        <v xml:space="preserve">  </v>
      </c>
      <c r="AA51" s="129" t="str">
        <f>IFERROR(INDEX('12'!C$300:C$400,MATCH("*"&amp;F51&amp;"*",'12'!B$300:B$400,0)),"  ")</f>
        <v xml:space="preserve">  </v>
      </c>
      <c r="AB51" s="129" t="str">
        <f>IFERROR(INDEX('13'!C$300:C$400,MATCH("*"&amp;F51&amp;"*",'13'!B$300:B$400,0)),"  ")</f>
        <v xml:space="preserve">  </v>
      </c>
      <c r="AC51" s="130">
        <f t="shared" si="15"/>
        <v>1</v>
      </c>
      <c r="AD51" s="130">
        <f t="shared" si="16"/>
        <v>0</v>
      </c>
      <c r="AE51" s="130">
        <f t="shared" si="17"/>
        <v>0</v>
      </c>
      <c r="AF51" s="1346">
        <f t="shared" si="7"/>
        <v>1E-4</v>
      </c>
      <c r="AG51" s="1346">
        <f t="shared" si="8"/>
        <v>2.0000000000000001E-4</v>
      </c>
      <c r="AH51" s="1346">
        <f t="shared" si="9"/>
        <v>2.9999999999999997E-4</v>
      </c>
      <c r="AI51" s="1346">
        <f t="shared" si="10"/>
        <v>5.0000000000000001E-4</v>
      </c>
    </row>
    <row r="52" spans="1:35" s="290" customFormat="1" ht="12.75" customHeight="1" x14ac:dyDescent="0.2">
      <c r="A52" s="978" t="str">
        <f>IF(B52="","",COUNTIF(B$8:B$53,"&gt;="&amp;B52))</f>
        <v/>
      </c>
      <c r="B52" s="165" t="str">
        <f t="shared" si="11"/>
        <v/>
      </c>
      <c r="C52" s="1016" t="str">
        <f>IF(D52="","",COUNTIF(D$8:D$53,"&gt;="&amp;D52))</f>
        <v/>
      </c>
      <c r="D52" s="168" t="str">
        <f t="shared" si="12"/>
        <v/>
      </c>
      <c r="E52" s="1314">
        <f>RANK(L52,L$8:L$53,1)</f>
        <v>44</v>
      </c>
      <c r="F52" s="183" t="s">
        <v>578</v>
      </c>
      <c r="G52" s="149"/>
      <c r="H52" s="150"/>
      <c r="I52" s="1379">
        <f>(IF(COUNT(R52,T52,W52,Y52,AB52)&lt;3,SUM(R52,T52,W52,Y52,AB52),SUM(LARGE((R52,T52,W52,Y52,AB52),{1;2;3}))))+(IF(COUNT(Q52,U52,X52,Z52)&lt;3,SUM(Q52,U52,X52,Z52),SUM(LARGE((Q52,U52,X52,Z52),{1;2;3}))))+(IF(COUNT(P52,S52,V52,AA52)&lt;3,SUM(P52,S52,V52,AA52),SUM(LARGE((P52,S52,V52,AA52),{1;2;3}))))</f>
        <v>10</v>
      </c>
      <c r="J52" s="164" t="str">
        <f>INDEX(ETAPP!B$1:B$32,MATCH(COUNTIF(P52:AB52,PIV!A$1),ETAPP!A$1:A$32,0))&amp;INDEX(ETAPP!B$1:B$32,MATCH(COUNTIF(P52:AB52,PIV!A$2),ETAPP!A$1:A$32,0))&amp;INDEX(ETAPP!B$1:B$32,MATCH(COUNTIF(P52:AB52,PIV!A$3),ETAPP!A$1:A$32,0))&amp;INDEX(ETAPP!B$1:B$32,MATCH(COUNTIF(P52:AB52,PIV!A$4),ETAPP!A$1:A$32,0))&amp;INDEX(ETAPP!B$1:B$32,MATCH(COUNTIF(P52:AB52,PIV!A$5),ETAPP!A$1:A$32,0))&amp;INDEX(ETAPP!B$1:B$32,MATCH(COUNTIF(P52:AB52,PIV!A$6),ETAPP!A$1:A$32,0))&amp;INDEX(ETAPP!B$1:B$32,MATCH(COUNTIF(P52:AB52,PIV!A$7),ETAPP!A$1:A$32,0))&amp;INDEX(ETAPP!B$1:B$32,MATCH(COUNTIF(P52:AB52,PIV!A$8),ETAPP!A$1:A$32,0))&amp;INDEX(ETAPP!B$1:B$32,MATCH(COUNTIF(P52:AB52,PIV!A$9),ETAPP!A$1:A$32,0))&amp;INDEX(ETAPP!B$1:B$32,MATCH(COUNTIF(P52:AB52,PIV!A$10),ETAPP!A$1:A$32,0))&amp;INDEX(ETAPP!B$1:B$32,MATCH(COUNTIF(P52:AB52,PIV!A$11),ETAPP!A$1:A$32,0))&amp;INDEX(ETAPP!B$1:B$32,MATCH(COUNTIF(P52:AB52,PIV!A$12),ETAPP!A$1:A$32,0))&amp;INDEX(ETAPP!B$1:B$32,MATCH(COUNTIF(P52:AB52,PIV!A$13),ETAPP!A$1:A$32,0))&amp;INDEX(ETAPP!B$1:B$32,MATCH(COUNTIF(P52:AB52,PIV!A$14),ETAPP!A$1:A$32,0))&amp;INDEX(ETAPP!B$1:B$32,MATCH(COUNTIF(P52:AB52,PIV!A$15),ETAPP!A$1:A$32,0))&amp;INDEX(ETAPP!B$1:B$32,MATCH(COUNTIF(P52:AB52,PIV!A$16),ETAPP!A$1:A$32,0))&amp;INDEX(ETAPP!B$1:B$32,MATCH(COUNTIF(P52:AB52,PIV!A$17),ETAPP!A$1:A$32,0))&amp;INDEX(ETAPP!B$1:B$32,MATCH(COUNTIF(P52:AB52,PIV!A$18),ETAPP!A$1:A$32,0))&amp;INDEX(ETAPP!B$1:B$32,MATCH(COUNTIF(P52:AB52,PIV!A$19),ETAPP!A$1:A$32,0))</f>
        <v>00000000000A000000G</v>
      </c>
      <c r="K52" s="164" t="str">
        <f t="shared" si="13"/>
        <v>010,0-00000000000A000000G</v>
      </c>
      <c r="L52" s="127">
        <f>COUNTIF(K$8:K$53,"&gt;="&amp;K52)</f>
        <v>45</v>
      </c>
      <c r="M52" s="127">
        <f>COUNTIF(F$8:F$53,"&gt;="&amp;F52)</f>
        <v>4</v>
      </c>
      <c r="N52" s="164" t="str">
        <f t="shared" si="14"/>
        <v>010,0-00000000000A000000G-004</v>
      </c>
      <c r="O52" s="844">
        <f>COUNTIF(N$8:N$53,"&lt;="&amp;N52)</f>
        <v>2</v>
      </c>
      <c r="P52" s="128" t="str">
        <f>IFERROR(INDEX('1'!C$300:C$400,MATCH("*"&amp;F52&amp;"*",'1'!B$300:B$400,0)),"  ")</f>
        <v xml:space="preserve">  </v>
      </c>
      <c r="Q52" s="129" t="str">
        <f>IFERROR(INDEX('2'!C$300:C$400,MATCH("*"&amp;F52&amp;"*",'2'!B$300:B$400,0)),"  ")</f>
        <v xml:space="preserve">  </v>
      </c>
      <c r="R52" s="129" t="str">
        <f>IFERROR(INDEX('3'!C$300:C$400,MATCH("*"&amp;F52&amp;"*",'3'!B$300:B$400,0)),"  ")</f>
        <v xml:space="preserve">  </v>
      </c>
      <c r="S52" s="129" t="str">
        <f>IFERROR(INDEX('4'!C$300:C$400,MATCH("*"&amp;F52&amp;"*",'4'!B$300:B$400,0)),"  ")</f>
        <v xml:space="preserve">  </v>
      </c>
      <c r="T52" s="129" t="str">
        <f>IFERROR(INDEX('5'!C$300:C$400,MATCH("*"&amp;F52&amp;"*",'5'!B$300:B$400,0)),"  ")</f>
        <v xml:space="preserve">  </v>
      </c>
      <c r="U52" s="129">
        <f>IFERROR(INDEX('6'!C$300:C$400,MATCH("*"&amp;F52&amp;"*",'6'!B$300:B$400,0)),"  ")</f>
        <v>10</v>
      </c>
      <c r="V52" s="129" t="str">
        <f>IFERROR(INDEX('7'!C$300:C$400,MATCH("*"&amp;F52&amp;"*",'7'!B$300:B$400,0)),"  ")</f>
        <v xml:space="preserve">  </v>
      </c>
      <c r="W52" s="129" t="str">
        <f>IFERROR(INDEX('8'!C$300:C$400,MATCH("*"&amp;F52&amp;"*",'8'!B$300:B$400,0)),"  ")</f>
        <v xml:space="preserve">  </v>
      </c>
      <c r="X52" s="129" t="str">
        <f>IFERROR(INDEX('9'!C$300:C$400,MATCH("*"&amp;F52&amp;"*",'9'!B$300:B$400,0)),"  ")</f>
        <v xml:space="preserve">  </v>
      </c>
      <c r="Y52" s="129" t="str">
        <f>IFERROR(INDEX('10'!C$300:C$400,MATCH("*"&amp;F52&amp;"*",'10'!B$300:B$400,0)),"  ")</f>
        <v xml:space="preserve">  </v>
      </c>
      <c r="Z52" s="128" t="str">
        <f>IFERROR(INDEX('11'!C$300:C$400,MATCH("*"&amp;F52&amp;"*",'11'!B$300:B$400,0)),"  ")</f>
        <v xml:space="preserve">  </v>
      </c>
      <c r="AA52" s="129" t="str">
        <f>IFERROR(INDEX('12'!C$300:C$400,MATCH("*"&amp;F52&amp;"*",'12'!B$300:B$400,0)),"  ")</f>
        <v xml:space="preserve">  </v>
      </c>
      <c r="AB52" s="129" t="str">
        <f>IFERROR(INDEX('13'!C$300:C$400,MATCH("*"&amp;F52&amp;"*",'13'!B$300:B$400,0)),"  ")</f>
        <v xml:space="preserve">  </v>
      </c>
      <c r="AC52" s="130">
        <f t="shared" si="15"/>
        <v>1</v>
      </c>
      <c r="AD52" s="130">
        <f t="shared" si="16"/>
        <v>0</v>
      </c>
      <c r="AE52" s="130">
        <f t="shared" si="17"/>
        <v>0</v>
      </c>
      <c r="AF52" s="1346">
        <f t="shared" si="7"/>
        <v>1E-4</v>
      </c>
      <c r="AG52" s="1346">
        <f t="shared" si="8"/>
        <v>2.0000000000000001E-4</v>
      </c>
      <c r="AH52" s="1346">
        <f t="shared" si="9"/>
        <v>2.9999999999999997E-4</v>
      </c>
      <c r="AI52" s="1346">
        <f t="shared" si="10"/>
        <v>5.0000000000000001E-4</v>
      </c>
    </row>
    <row r="53" spans="1:35" ht="12.75" customHeight="1" x14ac:dyDescent="0.2">
      <c r="A53" s="978" t="str">
        <f>IF(B53="","",COUNTIF(B$8:B$53,"&gt;="&amp;B53))</f>
        <v/>
      </c>
      <c r="B53" s="165" t="str">
        <f t="shared" si="11"/>
        <v/>
      </c>
      <c r="C53" s="1016" t="str">
        <f>IF(D53="","",COUNTIF(D$8:D$53,"&gt;="&amp;D53))</f>
        <v/>
      </c>
      <c r="D53" s="168" t="str">
        <f t="shared" si="12"/>
        <v/>
      </c>
      <c r="E53" s="1314">
        <f>RANK(L53,L$8:L$53,1)</f>
        <v>46</v>
      </c>
      <c r="F53" s="183" t="s">
        <v>210</v>
      </c>
      <c r="G53" s="149"/>
      <c r="H53" s="150"/>
      <c r="I53" s="1379">
        <f>(IF(COUNT(R53,T53,W53,Y53,AB53)&lt;3,SUM(R53,T53,W53,Y53,AB53),SUM(LARGE((R53,T53,W53,Y53,AB53),{1;2;3}))))+(IF(COUNT(Q53,U53,X53,Z53)&lt;3,SUM(Q53,U53,X53,Z53),SUM(LARGE((Q53,U53,X53,Z53),{1;2;3}))))+(IF(COUNT(P53,S53,V53,AA53)&lt;3,SUM(P53,S53,V53,AA53),SUM(LARGE((P53,S53,V53,AA53),{1;2;3}))))</f>
        <v>6</v>
      </c>
      <c r="J53" s="164" t="str">
        <f>INDEX(ETAPP!B$1:B$32,MATCH(COUNTIF(P53:AB53,PIV!A$1),ETAPP!A$1:A$32,0))&amp;INDEX(ETAPP!B$1:B$32,MATCH(COUNTIF(P53:AB53,PIV!A$2),ETAPP!A$1:A$32,0))&amp;INDEX(ETAPP!B$1:B$32,MATCH(COUNTIF(P53:AB53,PIV!A$3),ETAPP!A$1:A$32,0))&amp;INDEX(ETAPP!B$1:B$32,MATCH(COUNTIF(P53:AB53,PIV!A$4),ETAPP!A$1:A$32,0))&amp;INDEX(ETAPP!B$1:B$32,MATCH(COUNTIF(P53:AB53,PIV!A$5),ETAPP!A$1:A$32,0))&amp;INDEX(ETAPP!B$1:B$32,MATCH(COUNTIF(P53:AB53,PIV!A$6),ETAPP!A$1:A$32,0))&amp;INDEX(ETAPP!B$1:B$32,MATCH(COUNTIF(P53:AB53,PIV!A$7),ETAPP!A$1:A$32,0))&amp;INDEX(ETAPP!B$1:B$32,MATCH(COUNTIF(P53:AB53,PIV!A$8),ETAPP!A$1:A$32,0))&amp;INDEX(ETAPP!B$1:B$32,MATCH(COUNTIF(P53:AB53,PIV!A$9),ETAPP!A$1:A$32,0))&amp;INDEX(ETAPP!B$1:B$32,MATCH(COUNTIF(P53:AB53,PIV!A$10),ETAPP!A$1:A$32,0))&amp;INDEX(ETAPP!B$1:B$32,MATCH(COUNTIF(P53:AB53,PIV!A$11),ETAPP!A$1:A$32,0))&amp;INDEX(ETAPP!B$1:B$32,MATCH(COUNTIF(P53:AB53,PIV!A$12),ETAPP!A$1:A$32,0))&amp;INDEX(ETAPP!B$1:B$32,MATCH(COUNTIF(P53:AB53,PIV!A$13),ETAPP!A$1:A$32,0))&amp;INDEX(ETAPP!B$1:B$32,MATCH(COUNTIF(P53:AB53,PIV!A$14),ETAPP!A$1:A$32,0))&amp;INDEX(ETAPP!B$1:B$32,MATCH(COUNTIF(P53:AB53,PIV!A$15),ETAPP!A$1:A$32,0))&amp;INDEX(ETAPP!B$1:B$32,MATCH(COUNTIF(P53:AB53,PIV!A$16),ETAPP!A$1:A$32,0))&amp;INDEX(ETAPP!B$1:B$32,MATCH(COUNTIF(P53:AB53,PIV!A$17),ETAPP!A$1:A$32,0))&amp;INDEX(ETAPP!B$1:B$32,MATCH(COUNTIF(P53:AB53,PIV!A$18),ETAPP!A$1:A$32,0))&amp;INDEX(ETAPP!B$1:B$32,MATCH(COUNTIF(P53:AB53,PIV!A$19),ETAPP!A$1:A$32,0))</f>
        <v>0000000000000A0000G</v>
      </c>
      <c r="K53" s="164" t="str">
        <f t="shared" si="13"/>
        <v>006,0-0000000000000A0000G</v>
      </c>
      <c r="L53" s="127">
        <f>COUNTIF(K$8:K$53,"&gt;="&amp;K53)</f>
        <v>46</v>
      </c>
      <c r="M53" s="127">
        <f>COUNTIF(F$8:F$53,"&gt;="&amp;F53)</f>
        <v>18</v>
      </c>
      <c r="N53" s="164" t="str">
        <f t="shared" si="14"/>
        <v>006,0-0000000000000A0000G-018</v>
      </c>
      <c r="O53" s="844">
        <f>COUNTIF(N$8:N$53,"&lt;="&amp;N53)</f>
        <v>1</v>
      </c>
      <c r="P53" s="128" t="str">
        <f>IFERROR(INDEX('1'!C$300:C$400,MATCH("*"&amp;F53&amp;"*",'1'!B$300:B$400,0)),"  ")</f>
        <v xml:space="preserve">  </v>
      </c>
      <c r="Q53" s="129" t="str">
        <f>IFERROR(INDEX('2'!C$300:C$400,MATCH("*"&amp;F53&amp;"*",'2'!B$300:B$400,0)),"  ")</f>
        <v xml:space="preserve">  </v>
      </c>
      <c r="R53" s="129" t="str">
        <f>IFERROR(INDEX('3'!C$300:C$400,MATCH("*"&amp;F53&amp;"*",'3'!B$300:B$400,0)),"  ")</f>
        <v xml:space="preserve">  </v>
      </c>
      <c r="S53" s="129" t="str">
        <f>IFERROR(INDEX('4'!C$300:C$400,MATCH("*"&amp;F53&amp;"*",'4'!B$300:B$400,0)),"  ")</f>
        <v xml:space="preserve">  </v>
      </c>
      <c r="T53" s="129" t="str">
        <f>IFERROR(INDEX('5'!C$300:C$400,MATCH("*"&amp;F53&amp;"*",'5'!B$300:B$400,0)),"  ")</f>
        <v xml:space="preserve">  </v>
      </c>
      <c r="U53" s="129" t="str">
        <f>IFERROR(INDEX('6'!C$300:C$400,MATCH("*"&amp;F53&amp;"*",'6'!B$300:B$400,0)),"  ")</f>
        <v xml:space="preserve">  </v>
      </c>
      <c r="V53" s="129" t="str">
        <f>IFERROR(INDEX('7'!C$300:C$400,MATCH("*"&amp;F53&amp;"*",'7'!B$300:B$400,0)),"  ")</f>
        <v xml:space="preserve">  </v>
      </c>
      <c r="W53" s="129">
        <f>IFERROR(INDEX('8'!C$300:C$400,MATCH("*"&amp;F53&amp;"*",'8'!B$300:B$400,0)),"  ")</f>
        <v>6</v>
      </c>
      <c r="X53" s="129" t="str">
        <f>IFERROR(INDEX('9'!C$300:C$400,MATCH("*"&amp;F53&amp;"*",'9'!B$300:B$400,0)),"  ")</f>
        <v xml:space="preserve">  </v>
      </c>
      <c r="Y53" s="129" t="str">
        <f>IFERROR(INDEX('10'!C$300:C$400,MATCH("*"&amp;F53&amp;"*",'10'!B$300:B$400,0)),"  ")</f>
        <v xml:space="preserve">  </v>
      </c>
      <c r="Z53" s="128" t="str">
        <f>IFERROR(INDEX('11'!C$300:C$400,MATCH("*"&amp;F53&amp;"*",'11'!B$300:B$400,0)),"  ")</f>
        <v xml:space="preserve">  </v>
      </c>
      <c r="AA53" s="129" t="str">
        <f>IFERROR(INDEX('12'!C$300:C$400,MATCH("*"&amp;F53&amp;"*",'12'!B$300:B$400,0)),"  ")</f>
        <v xml:space="preserve">  </v>
      </c>
      <c r="AB53" s="129" t="str">
        <f>IFERROR(INDEX('13'!C$300:C$400,MATCH("*"&amp;F53&amp;"*",'13'!B$300:B$400,0)),"  ")</f>
        <v xml:space="preserve">  </v>
      </c>
      <c r="AC53" s="130">
        <f t="shared" si="15"/>
        <v>1</v>
      </c>
      <c r="AD53" s="130">
        <f t="shared" si="16"/>
        <v>0</v>
      </c>
      <c r="AE53" s="130">
        <f t="shared" si="17"/>
        <v>0</v>
      </c>
      <c r="AF53" s="1346">
        <f t="shared" si="7"/>
        <v>1E-4</v>
      </c>
      <c r="AG53" s="1346">
        <f t="shared" si="8"/>
        <v>2.0000000000000001E-4</v>
      </c>
      <c r="AH53" s="1346">
        <f t="shared" si="9"/>
        <v>2.9999999999999997E-4</v>
      </c>
      <c r="AI53" s="1346">
        <f t="shared" si="10"/>
        <v>5.0000000000000001E-4</v>
      </c>
    </row>
    <row r="54" spans="1:35" x14ac:dyDescent="0.2">
      <c r="A54" s="136">
        <f>COUNT(A8:A53)</f>
        <v>5</v>
      </c>
      <c r="B54" s="136"/>
      <c r="C54" s="137">
        <f>COUNT(C8:C53)</f>
        <v>4</v>
      </c>
      <c r="D54" s="137"/>
      <c r="E54" s="135">
        <f>COUNTIF(I8:I53,"&gt;0")</f>
        <v>46</v>
      </c>
      <c r="F54" s="138" t="s">
        <v>132</v>
      </c>
      <c r="G54" s="119"/>
      <c r="H54" s="119"/>
      <c r="I54" s="139"/>
      <c r="J54" s="139"/>
      <c r="K54" s="139"/>
      <c r="L54" s="139"/>
      <c r="M54" s="139"/>
      <c r="N54" s="139"/>
      <c r="O54" s="139"/>
      <c r="P54" s="140">
        <f>COUNTIF(P8:P53,"&gt;=0")</f>
        <v>12</v>
      </c>
      <c r="Q54" s="140">
        <f>COUNTIF(Q8:Q53,"&gt;=0")</f>
        <v>18</v>
      </c>
      <c r="R54" s="140">
        <f>COUNTIF(R8:R53,"&gt;=0")</f>
        <v>17</v>
      </c>
      <c r="S54" s="140">
        <f>COUNTIF(S8:S53,"&gt;=0")</f>
        <v>31</v>
      </c>
      <c r="T54" s="140">
        <f>COUNTIF(T8:T53,"&gt;=0")</f>
        <v>8</v>
      </c>
      <c r="U54" s="140">
        <f>COUNTIF(U8:U53,"&gt;=0")</f>
        <v>24</v>
      </c>
      <c r="V54" s="140">
        <f>COUNTIF(V8:V53,"&gt;=0")</f>
        <v>25</v>
      </c>
      <c r="W54" s="140">
        <f>COUNTIF(W8:W53,"&gt;=0")</f>
        <v>17</v>
      </c>
      <c r="X54" s="140">
        <f>COUNTIF(X8:X53,"&gt;=0")</f>
        <v>16</v>
      </c>
      <c r="Y54" s="140">
        <f>COUNTIF(Y8:Y53,"&gt;=0")</f>
        <v>20</v>
      </c>
      <c r="Z54" s="140">
        <f>COUNTIF(Z8:Z53,"&gt;=0")</f>
        <v>20</v>
      </c>
      <c r="AA54" s="140">
        <f>COUNTIF(AA8:AA53,"&gt;=0")</f>
        <v>15</v>
      </c>
      <c r="AB54" s="140">
        <f>COUNTIF(AB8:AB53,"&gt;=0")</f>
        <v>11</v>
      </c>
      <c r="AC54" s="119"/>
      <c r="AD54" s="141">
        <f>SUM(AD8:AD53)</f>
        <v>75</v>
      </c>
      <c r="AE54" s="141">
        <f>SUM(AE8:AE53)</f>
        <v>25</v>
      </c>
    </row>
    <row r="55" spans="1:35" x14ac:dyDescent="0.2">
      <c r="A55" s="119"/>
      <c r="B55" s="119"/>
      <c r="C55" s="142"/>
      <c r="D55" s="142"/>
      <c r="E55" s="119"/>
      <c r="F55" s="138" t="s">
        <v>133</v>
      </c>
      <c r="G55" s="119"/>
      <c r="H55" s="119"/>
      <c r="I55" s="139"/>
      <c r="J55" s="139"/>
      <c r="K55" s="139"/>
      <c r="L55" s="139"/>
      <c r="M55" s="139"/>
      <c r="N55" s="139"/>
      <c r="O55" s="139"/>
      <c r="P55" s="143">
        <f>IF((P54/(LEN(P6)-LEN(SUBSTITUTE(P6,"*","")))-0.5)&lt;0,"",P54/(LEN(P6)-LEN(SUBSTITUTE(P6,"*","")))-0.5)</f>
        <v>3.5</v>
      </c>
      <c r="Q55" s="143">
        <f>IF((Q54/(LEN(Q6)-LEN(SUBSTITUTE(Q6,"*","")))-0.5)&lt;0,"",Q54/(LEN(Q6)-LEN(SUBSTITUTE(Q6,"*","")))-0.5)</f>
        <v>8.5</v>
      </c>
      <c r="R55" s="143"/>
      <c r="S55" s="143">
        <f>IF((S54/(LEN(S6)-LEN(SUBSTITUTE(S6,"*","")))-0.5)&lt;0,"",S54/(LEN(S6)-LEN(SUBSTITUTE(S6,"*","")))-0.5)</f>
        <v>9.8333333333333339</v>
      </c>
      <c r="T55" s="143"/>
      <c r="U55" s="143">
        <f>IF((U54/(LEN(U6)-LEN(SUBSTITUTE(U6,"*","")))-0.5)&lt;0,"",U54/(LEN(U6)-LEN(SUBSTITUTE(U6,"*","")))-0.5)</f>
        <v>11.5</v>
      </c>
      <c r="V55" s="143">
        <f>IF((V54/(LEN(V6)-LEN(SUBSTITUTE(V6,"*","")))-0.5)&lt;0,"",V54/(LEN(V6)-LEN(SUBSTITUTE(V6,"*","")))-0.5)</f>
        <v>7.8333333333333339</v>
      </c>
      <c r="W55" s="143"/>
      <c r="X55" s="143">
        <f>IF((X54/(LEN(X6)-LEN(SUBSTITUTE(X6,"*","")))-0.5)&lt;0,"",X54/(LEN(X6)-LEN(SUBSTITUTE(X6,"*","")))-0.5)</f>
        <v>7.5</v>
      </c>
      <c r="Y55" s="143"/>
      <c r="Z55" s="143">
        <f>IF((Z54/(LEN(Z6)-LEN(SUBSTITUTE(Z6,"*","")))-0.5)&lt;0,"",Z54/(LEN(Z6)-LEN(SUBSTITUTE(Z6,"*","")))-0.5)</f>
        <v>9.5</v>
      </c>
      <c r="AA55" s="143">
        <f>IF((AA54/(LEN(AA6)-LEN(SUBSTITUTE(AA6,"*","")))-0.5)&lt;0,"",AA54/(LEN(AA6)-LEN(SUBSTITUTE(AA6,"*","")))-0.5)</f>
        <v>4.5</v>
      </c>
      <c r="AB55" s="143"/>
      <c r="AC55" s="119"/>
      <c r="AD55" s="119"/>
      <c r="AE55" s="119"/>
    </row>
    <row r="56" spans="1:35" x14ac:dyDescent="0.2">
      <c r="G56" s="109"/>
      <c r="H56" s="109"/>
    </row>
    <row r="57" spans="1:35" x14ac:dyDescent="0.2">
      <c r="A57" s="113"/>
      <c r="B57" s="113"/>
      <c r="C57" s="109"/>
      <c r="D57" s="109"/>
      <c r="F57" s="144" t="s">
        <v>733</v>
      </c>
      <c r="G57" s="109"/>
      <c r="H57" s="109"/>
      <c r="I57" s="113"/>
      <c r="J57" s="113"/>
      <c r="K57" s="113"/>
      <c r="L57" s="113"/>
      <c r="M57" s="113"/>
      <c r="N57" s="113"/>
      <c r="O57" s="113"/>
      <c r="AB57" s="109"/>
    </row>
    <row r="58" spans="1:35" x14ac:dyDescent="0.2">
      <c r="A58" s="113"/>
      <c r="B58" s="113"/>
      <c r="C58" s="109"/>
      <c r="D58" s="109"/>
      <c r="F58" s="144" t="s">
        <v>734</v>
      </c>
      <c r="G58" s="109"/>
      <c r="H58" s="109"/>
      <c r="I58" s="113"/>
      <c r="J58" s="113"/>
      <c r="K58" s="113"/>
      <c r="L58" s="113"/>
      <c r="M58" s="113"/>
      <c r="N58" s="113"/>
      <c r="O58" s="113"/>
      <c r="AB58" s="109"/>
    </row>
    <row r="59" spans="1:35" x14ac:dyDescent="0.2">
      <c r="A59" s="113"/>
      <c r="B59" s="113"/>
      <c r="C59" s="109"/>
      <c r="D59" s="109"/>
      <c r="F59" s="1347" t="s">
        <v>735</v>
      </c>
      <c r="G59" s="109"/>
      <c r="H59" s="109"/>
      <c r="I59" s="113"/>
      <c r="J59" s="113"/>
      <c r="K59" s="113"/>
      <c r="L59" s="113"/>
      <c r="M59" s="113"/>
      <c r="N59" s="113"/>
      <c r="O59" s="113"/>
      <c r="AB59" s="109"/>
    </row>
    <row r="60" spans="1:35" x14ac:dyDescent="0.2">
      <c r="A60" s="113"/>
      <c r="B60" s="113"/>
      <c r="C60" s="109"/>
      <c r="D60" s="109"/>
      <c r="F60" s="290"/>
      <c r="G60" s="109"/>
      <c r="H60" s="109"/>
      <c r="I60" s="113"/>
      <c r="J60" s="113"/>
      <c r="K60" s="113"/>
      <c r="L60" s="113"/>
      <c r="M60" s="113"/>
      <c r="N60" s="113"/>
      <c r="O60" s="113"/>
      <c r="AB60" s="109"/>
    </row>
    <row r="61" spans="1:35" x14ac:dyDescent="0.2">
      <c r="A61" s="113"/>
      <c r="B61" s="113"/>
      <c r="C61" s="109"/>
      <c r="D61" s="109"/>
      <c r="F61" s="1348" t="s">
        <v>770</v>
      </c>
      <c r="G61" s="109"/>
      <c r="H61" s="109"/>
      <c r="I61" s="113"/>
      <c r="J61" s="113"/>
      <c r="K61" s="113"/>
      <c r="L61" s="113"/>
      <c r="M61" s="113"/>
      <c r="N61" s="113"/>
      <c r="O61" s="113"/>
      <c r="AB61" s="109"/>
    </row>
    <row r="62" spans="1:35" x14ac:dyDescent="0.2">
      <c r="F62" s="109" t="s">
        <v>94</v>
      </c>
      <c r="G62" s="109"/>
      <c r="H62" s="109"/>
      <c r="I62" s="109" t="s">
        <v>117</v>
      </c>
      <c r="S62" s="109" t="s">
        <v>115</v>
      </c>
      <c r="Y62" s="109" t="s">
        <v>121</v>
      </c>
    </row>
    <row r="63" spans="1:35" x14ac:dyDescent="0.2">
      <c r="F63" s="109" t="s">
        <v>110</v>
      </c>
      <c r="G63" s="109"/>
      <c r="H63" s="109"/>
      <c r="I63" s="109" t="s">
        <v>134</v>
      </c>
      <c r="S63" s="109" t="s">
        <v>127</v>
      </c>
      <c r="Y63" s="109" t="s">
        <v>104</v>
      </c>
    </row>
    <row r="64" spans="1:35" x14ac:dyDescent="0.2">
      <c r="F64" s="109" t="s">
        <v>107</v>
      </c>
      <c r="G64" s="109"/>
      <c r="H64" s="109"/>
      <c r="I64" s="109" t="s">
        <v>135</v>
      </c>
      <c r="S64" s="109" t="s">
        <v>106</v>
      </c>
      <c r="Y64" s="109" t="s">
        <v>129</v>
      </c>
    </row>
    <row r="65" spans="6:25" x14ac:dyDescent="0.2">
      <c r="F65" s="109" t="s">
        <v>97</v>
      </c>
      <c r="G65" s="109"/>
      <c r="H65" s="109"/>
      <c r="I65" s="109" t="s">
        <v>89</v>
      </c>
      <c r="S65" s="109" t="s">
        <v>113</v>
      </c>
      <c r="Y65" s="109" t="s">
        <v>103</v>
      </c>
    </row>
    <row r="66" spans="6:25" x14ac:dyDescent="0.2">
      <c r="F66" s="109" t="s">
        <v>98</v>
      </c>
      <c r="G66" s="109"/>
      <c r="H66" s="109"/>
      <c r="I66" s="109" t="s">
        <v>136</v>
      </c>
      <c r="S66" s="132" t="s">
        <v>108</v>
      </c>
      <c r="Y66" s="109" t="s">
        <v>96</v>
      </c>
    </row>
    <row r="67" spans="6:25" x14ac:dyDescent="0.2">
      <c r="F67" s="109" t="s">
        <v>95</v>
      </c>
      <c r="G67" s="109"/>
      <c r="H67" s="109"/>
      <c r="I67" s="109" t="s">
        <v>93</v>
      </c>
      <c r="S67" s="109" t="s">
        <v>101</v>
      </c>
      <c r="Y67" s="109" t="s">
        <v>100</v>
      </c>
    </row>
    <row r="68" spans="6:25" x14ac:dyDescent="0.2">
      <c r="F68" s="109" t="s">
        <v>118</v>
      </c>
      <c r="G68" s="109"/>
      <c r="H68" s="109"/>
      <c r="I68" s="109" t="s">
        <v>90</v>
      </c>
      <c r="S68" s="109" t="s">
        <v>91</v>
      </c>
      <c r="Y68" s="132" t="s">
        <v>112</v>
      </c>
    </row>
    <row r="69" spans="6:25" x14ac:dyDescent="0.2">
      <c r="F69" s="109" t="s">
        <v>99</v>
      </c>
      <c r="G69" s="109"/>
      <c r="H69" s="109"/>
      <c r="I69" s="109" t="s">
        <v>114</v>
      </c>
      <c r="S69" s="109" t="s">
        <v>109</v>
      </c>
      <c r="Y69" s="109" t="s">
        <v>102</v>
      </c>
    </row>
    <row r="70" spans="6:25" x14ac:dyDescent="0.2">
      <c r="F70" s="109" t="s">
        <v>116</v>
      </c>
      <c r="G70" s="109"/>
      <c r="H70" s="109"/>
      <c r="I70" s="109" t="s">
        <v>111</v>
      </c>
      <c r="S70" s="109" t="s">
        <v>88</v>
      </c>
      <c r="Y70" s="109" t="s">
        <v>105</v>
      </c>
    </row>
    <row r="71" spans="6:25" x14ac:dyDescent="0.2">
      <c r="G71" s="109"/>
      <c r="H71" s="109"/>
      <c r="S71" s="109"/>
    </row>
    <row r="72" spans="6:25" x14ac:dyDescent="0.2">
      <c r="G72" s="109"/>
      <c r="H72" s="109"/>
    </row>
    <row r="73" spans="6:25" x14ac:dyDescent="0.2">
      <c r="G73" s="109"/>
      <c r="H73" s="109"/>
    </row>
    <row r="74" spans="6:25" x14ac:dyDescent="0.2">
      <c r="G74" s="109"/>
      <c r="H74" s="109"/>
    </row>
    <row r="75" spans="6:25" x14ac:dyDescent="0.2">
      <c r="G75" s="109"/>
      <c r="H75" s="109"/>
    </row>
    <row r="76" spans="6:25" x14ac:dyDescent="0.2">
      <c r="G76" s="109"/>
      <c r="H76" s="109"/>
    </row>
    <row r="77" spans="6:25" x14ac:dyDescent="0.2">
      <c r="G77" s="109"/>
      <c r="H77" s="109"/>
    </row>
    <row r="78" spans="6:25" x14ac:dyDescent="0.2">
      <c r="G78" s="109"/>
      <c r="H78" s="109"/>
    </row>
    <row r="79" spans="6:25" x14ac:dyDescent="0.2">
      <c r="G79" s="109"/>
      <c r="H79" s="109"/>
    </row>
    <row r="80" spans="6:25" x14ac:dyDescent="0.2">
      <c r="G80" s="109"/>
      <c r="H80" s="109"/>
    </row>
    <row r="81" spans="7:8" x14ac:dyDescent="0.2">
      <c r="G81" s="109"/>
      <c r="H81" s="109"/>
    </row>
    <row r="82" spans="7:8" x14ac:dyDescent="0.2">
      <c r="G82" s="109"/>
      <c r="H82" s="109"/>
    </row>
    <row r="83" spans="7:8" x14ac:dyDescent="0.2">
      <c r="G83" s="109"/>
      <c r="H83" s="109"/>
    </row>
    <row r="84" spans="7:8" x14ac:dyDescent="0.2">
      <c r="G84" s="109"/>
      <c r="H84" s="109"/>
    </row>
    <row r="85" spans="7:8" x14ac:dyDescent="0.2">
      <c r="G85" s="109"/>
      <c r="H85" s="109"/>
    </row>
    <row r="86" spans="7:8" x14ac:dyDescent="0.2">
      <c r="G86" s="109"/>
      <c r="H86" s="109"/>
    </row>
    <row r="87" spans="7:8" x14ac:dyDescent="0.2">
      <c r="G87" s="109"/>
      <c r="H87" s="109"/>
    </row>
    <row r="88" spans="7:8" x14ac:dyDescent="0.2">
      <c r="G88" s="109"/>
      <c r="H88" s="109"/>
    </row>
    <row r="89" spans="7:8" x14ac:dyDescent="0.2">
      <c r="G89" s="109"/>
      <c r="H89" s="109"/>
    </row>
    <row r="90" spans="7:8" x14ac:dyDescent="0.2">
      <c r="G90" s="109"/>
      <c r="H90" s="109"/>
    </row>
    <row r="91" spans="7:8" x14ac:dyDescent="0.2">
      <c r="G91" s="109"/>
      <c r="H91" s="109"/>
    </row>
    <row r="92" spans="7:8" x14ac:dyDescent="0.2">
      <c r="G92" s="109"/>
      <c r="H92" s="109"/>
    </row>
    <row r="93" spans="7:8" x14ac:dyDescent="0.2">
      <c r="G93" s="109"/>
      <c r="H93" s="109"/>
    </row>
    <row r="94" spans="7:8" x14ac:dyDescent="0.2">
      <c r="G94" s="109"/>
      <c r="H94" s="109"/>
    </row>
    <row r="95" spans="7:8" x14ac:dyDescent="0.2">
      <c r="G95" s="109"/>
      <c r="H95" s="109"/>
    </row>
    <row r="96" spans="7:8" x14ac:dyDescent="0.2">
      <c r="G96" s="109"/>
      <c r="H96" s="109"/>
    </row>
    <row r="97" spans="7:8" x14ac:dyDescent="0.2">
      <c r="G97" s="109"/>
      <c r="H97" s="109"/>
    </row>
    <row r="98" spans="7:8" x14ac:dyDescent="0.2">
      <c r="G98" s="109"/>
      <c r="H98" s="109"/>
    </row>
    <row r="99" spans="7:8" x14ac:dyDescent="0.2">
      <c r="G99" s="109"/>
      <c r="H99" s="109"/>
    </row>
    <row r="100" spans="7:8" x14ac:dyDescent="0.2">
      <c r="G100" s="109"/>
      <c r="H100" s="109"/>
    </row>
    <row r="101" spans="7:8" x14ac:dyDescent="0.2">
      <c r="G101" s="109"/>
      <c r="H101" s="109"/>
    </row>
    <row r="102" spans="7:8" x14ac:dyDescent="0.2">
      <c r="G102" s="109"/>
      <c r="H102" s="109"/>
    </row>
    <row r="103" spans="7:8" x14ac:dyDescent="0.2">
      <c r="G103" s="109"/>
      <c r="H103" s="109"/>
    </row>
    <row r="104" spans="7:8" x14ac:dyDescent="0.2">
      <c r="G104" s="109"/>
      <c r="H104" s="109"/>
    </row>
    <row r="105" spans="7:8" x14ac:dyDescent="0.2">
      <c r="G105" s="109"/>
      <c r="H105" s="109"/>
    </row>
    <row r="106" spans="7:8" x14ac:dyDescent="0.2">
      <c r="G106" s="109"/>
      <c r="H106" s="109"/>
    </row>
    <row r="107" spans="7:8" x14ac:dyDescent="0.2">
      <c r="G107" s="109"/>
      <c r="H107" s="109"/>
    </row>
    <row r="108" spans="7:8" x14ac:dyDescent="0.2">
      <c r="G108" s="109"/>
      <c r="H108" s="109"/>
    </row>
    <row r="109" spans="7:8" x14ac:dyDescent="0.2">
      <c r="G109" s="109"/>
      <c r="H109" s="109"/>
    </row>
    <row r="110" spans="7:8" x14ac:dyDescent="0.2">
      <c r="G110" s="109"/>
      <c r="H110" s="109"/>
    </row>
    <row r="111" spans="7:8" x14ac:dyDescent="0.2">
      <c r="G111" s="109"/>
      <c r="H111" s="109"/>
    </row>
    <row r="112" spans="7:8" x14ac:dyDescent="0.2">
      <c r="G112" s="109"/>
      <c r="H112" s="109"/>
    </row>
    <row r="113" spans="7:8" x14ac:dyDescent="0.2">
      <c r="G113" s="109"/>
      <c r="H113" s="109"/>
    </row>
    <row r="114" spans="7:8" x14ac:dyDescent="0.2">
      <c r="G114" s="109"/>
      <c r="H114" s="109"/>
    </row>
    <row r="115" spans="7:8" x14ac:dyDescent="0.2">
      <c r="G115" s="109"/>
      <c r="H115" s="109"/>
    </row>
    <row r="116" spans="7:8" x14ac:dyDescent="0.2">
      <c r="G116" s="109"/>
      <c r="H116" s="109"/>
    </row>
    <row r="117" spans="7:8" x14ac:dyDescent="0.2">
      <c r="G117" s="109"/>
      <c r="H117" s="109"/>
    </row>
    <row r="118" spans="7:8" x14ac:dyDescent="0.2">
      <c r="G118" s="109"/>
      <c r="H118" s="109"/>
    </row>
    <row r="119" spans="7:8" x14ac:dyDescent="0.2">
      <c r="G119" s="109"/>
      <c r="H119" s="109"/>
    </row>
    <row r="120" spans="7:8" x14ac:dyDescent="0.2">
      <c r="G120" s="109"/>
      <c r="H120" s="109"/>
    </row>
    <row r="121" spans="7:8" x14ac:dyDescent="0.2">
      <c r="G121" s="109"/>
      <c r="H121" s="109"/>
    </row>
    <row r="122" spans="7:8" x14ac:dyDescent="0.2">
      <c r="G122" s="109"/>
      <c r="H122" s="109"/>
    </row>
    <row r="123" spans="7:8" x14ac:dyDescent="0.2">
      <c r="G123" s="109"/>
      <c r="H123" s="109"/>
    </row>
    <row r="124" spans="7:8" x14ac:dyDescent="0.2">
      <c r="G124" s="109"/>
      <c r="H124" s="109"/>
    </row>
    <row r="125" spans="7:8" x14ac:dyDescent="0.2">
      <c r="G125" s="109"/>
      <c r="H125" s="109"/>
    </row>
    <row r="126" spans="7:8" x14ac:dyDescent="0.2">
      <c r="G126" s="109"/>
      <c r="H126" s="109"/>
    </row>
    <row r="127" spans="7:8" x14ac:dyDescent="0.2">
      <c r="G127" s="109"/>
      <c r="H127" s="109"/>
    </row>
    <row r="128" spans="7:8" x14ac:dyDescent="0.2">
      <c r="G128" s="109"/>
      <c r="H128" s="109"/>
    </row>
    <row r="129" spans="7:8" x14ac:dyDescent="0.2">
      <c r="G129" s="109"/>
      <c r="H129" s="109"/>
    </row>
    <row r="130" spans="7:8" x14ac:dyDescent="0.2">
      <c r="G130" s="109"/>
      <c r="H130" s="109"/>
    </row>
    <row r="131" spans="7:8" x14ac:dyDescent="0.2">
      <c r="G131" s="109"/>
      <c r="H131" s="109"/>
    </row>
    <row r="132" spans="7:8" x14ac:dyDescent="0.2">
      <c r="G132" s="109"/>
      <c r="H132" s="109"/>
    </row>
    <row r="133" spans="7:8" x14ac:dyDescent="0.2">
      <c r="G133" s="109"/>
      <c r="H133" s="109"/>
    </row>
    <row r="134" spans="7:8" x14ac:dyDescent="0.2">
      <c r="G134" s="109"/>
      <c r="H134" s="109"/>
    </row>
    <row r="135" spans="7:8" x14ac:dyDescent="0.2">
      <c r="G135" s="109"/>
      <c r="H135" s="109"/>
    </row>
    <row r="136" spans="7:8" x14ac:dyDescent="0.2">
      <c r="G136" s="109"/>
      <c r="H136" s="109"/>
    </row>
    <row r="137" spans="7:8" x14ac:dyDescent="0.2">
      <c r="G137" s="109"/>
      <c r="H137" s="109"/>
    </row>
    <row r="138" spans="7:8" x14ac:dyDescent="0.2">
      <c r="G138" s="109"/>
      <c r="H138" s="109"/>
    </row>
    <row r="139" spans="7:8" x14ac:dyDescent="0.2">
      <c r="G139" s="109"/>
      <c r="H139" s="109"/>
    </row>
    <row r="140" spans="7:8" x14ac:dyDescent="0.2">
      <c r="G140" s="109"/>
      <c r="H140" s="109"/>
    </row>
    <row r="141" spans="7:8" x14ac:dyDescent="0.2">
      <c r="G141" s="109"/>
      <c r="H141" s="109"/>
    </row>
    <row r="142" spans="7:8" x14ac:dyDescent="0.2">
      <c r="G142" s="109"/>
      <c r="H142" s="109"/>
    </row>
    <row r="143" spans="7:8" x14ac:dyDescent="0.2">
      <c r="G143" s="109"/>
      <c r="H143" s="109"/>
    </row>
    <row r="144" spans="7:8" x14ac:dyDescent="0.2">
      <c r="G144" s="109"/>
      <c r="H144" s="109"/>
    </row>
    <row r="145" spans="7:8" x14ac:dyDescent="0.2">
      <c r="G145" s="109"/>
      <c r="H145" s="109"/>
    </row>
    <row r="146" spans="7:8" x14ac:dyDescent="0.2">
      <c r="G146" s="109"/>
      <c r="H146" s="109"/>
    </row>
    <row r="147" spans="7:8" x14ac:dyDescent="0.2">
      <c r="G147" s="109"/>
      <c r="H147" s="109"/>
    </row>
    <row r="148" spans="7:8" x14ac:dyDescent="0.2">
      <c r="G148" s="109"/>
      <c r="H148" s="109"/>
    </row>
    <row r="149" spans="7:8" x14ac:dyDescent="0.2">
      <c r="G149" s="109"/>
      <c r="H149" s="109"/>
    </row>
    <row r="150" spans="7:8" x14ac:dyDescent="0.2">
      <c r="G150" s="109"/>
      <c r="H150" s="109"/>
    </row>
    <row r="151" spans="7:8" x14ac:dyDescent="0.2">
      <c r="G151" s="109"/>
      <c r="H151" s="109"/>
    </row>
    <row r="152" spans="7:8" x14ac:dyDescent="0.2">
      <c r="G152" s="109"/>
      <c r="H152" s="109"/>
    </row>
    <row r="153" spans="7:8" x14ac:dyDescent="0.2">
      <c r="G153" s="109"/>
      <c r="H153" s="109"/>
    </row>
    <row r="154" spans="7:8" x14ac:dyDescent="0.2">
      <c r="G154" s="109"/>
      <c r="H154" s="109"/>
    </row>
    <row r="155" spans="7:8" x14ac:dyDescent="0.2">
      <c r="G155" s="109"/>
      <c r="H155" s="109"/>
    </row>
    <row r="156" spans="7:8" x14ac:dyDescent="0.2">
      <c r="G156" s="109"/>
      <c r="H156" s="109"/>
    </row>
    <row r="157" spans="7:8" x14ac:dyDescent="0.2">
      <c r="G157" s="109"/>
      <c r="H157" s="109"/>
    </row>
    <row r="158" spans="7:8" x14ac:dyDescent="0.2">
      <c r="G158" s="109"/>
      <c r="H158" s="109"/>
    </row>
    <row r="159" spans="7:8" x14ac:dyDescent="0.2">
      <c r="G159" s="109"/>
      <c r="H159" s="109"/>
    </row>
    <row r="160" spans="7:8" x14ac:dyDescent="0.2">
      <c r="G160" s="109"/>
      <c r="H160" s="109"/>
    </row>
    <row r="161" spans="7:8" x14ac:dyDescent="0.2">
      <c r="G161" s="109"/>
      <c r="H161" s="109"/>
    </row>
    <row r="162" spans="7:8" x14ac:dyDescent="0.2">
      <c r="G162" s="109"/>
      <c r="H162" s="109"/>
    </row>
    <row r="163" spans="7:8" x14ac:dyDescent="0.2">
      <c r="G163" s="109"/>
      <c r="H163" s="109"/>
    </row>
  </sheetData>
  <autoFilter ref="AC7:AE53"/>
  <sortState ref="AJ81:AJ110">
    <sortCondition ref="AJ81"/>
  </sortState>
  <mergeCells count="3">
    <mergeCell ref="AC5:AC6"/>
    <mergeCell ref="AD5:AD6"/>
    <mergeCell ref="AE5:AE6"/>
  </mergeCells>
  <conditionalFormatting sqref="P54:AB54">
    <cfRule type="top10" dxfId="3479" priority="25" stopIfTrue="1" rank="1"/>
  </conditionalFormatting>
  <conditionalFormatting sqref="P8:AB53">
    <cfRule type="expression" dxfId="3478" priority="146">
      <formula>IF(COUNT(P$8:P$57)=0,TRUE)</formula>
    </cfRule>
    <cfRule type="cellIs" dxfId="3477" priority="147" operator="equal">
      <formula>30</formula>
    </cfRule>
    <cfRule type="cellIs" dxfId="3476" priority="148" operator="equal">
      <formula>34</formula>
    </cfRule>
    <cfRule type="cellIs" dxfId="3475" priority="149" operator="equal">
      <formula>40</formula>
    </cfRule>
  </conditionalFormatting>
  <conditionalFormatting sqref="P8:P53 S8:S53 V8:V53 AA8:AA53">
    <cfRule type="expression" dxfId="3474" priority="4">
      <formula>IF(P8="  ",FALSE,P8)+P$7/10000=$AF8</formula>
    </cfRule>
  </conditionalFormatting>
  <conditionalFormatting sqref="Q8:Q53 U8:U53 X8:X53 Z8:Z53">
    <cfRule type="expression" dxfId="3473" priority="3">
      <formula>IF(Q8="  ",FALSE,Q8)+Q$7/10000=$AG8</formula>
    </cfRule>
  </conditionalFormatting>
  <conditionalFormatting sqref="R8:R53 T8:T53 W8:W53 Y8:Y53 AB8:AB53">
    <cfRule type="expression" dxfId="3472" priority="1">
      <formula>IF(R8="  ",FALSE,R8)+R$7/10000=$AI8</formula>
    </cfRule>
    <cfRule type="expression" dxfId="3471" priority="2">
      <formula>IF(R8="  ",FALSE,R8)+R$7/10000=$AH8</formula>
    </cfRule>
  </conditionalFormatting>
  <conditionalFormatting sqref="AD8:AD53">
    <cfRule type="top10" dxfId="8" priority="3329" stopIfTrue="1" rank="1"/>
  </conditionalFormatting>
  <conditionalFormatting sqref="AE8:AE53">
    <cfRule type="top10" dxfId="7" priority="3330" stopIfTrue="1" rank="1"/>
  </conditionalFormatting>
  <conditionalFormatting sqref="AC8:AC53">
    <cfRule type="top10" dxfId="6" priority="3331" stopIfTrue="1" rank="1"/>
  </conditionalFormatting>
  <conditionalFormatting sqref="E8:E53">
    <cfRule type="duplicateValues" dxfId="5" priority="3332" stopIfTrue="1"/>
  </conditionalFormatting>
  <conditionalFormatting sqref="I8:I53">
    <cfRule type="duplicateValues" dxfId="4" priority="3333" stopIfTrue="1"/>
  </conditionalFormatting>
  <conditionalFormatting sqref="F8:F53">
    <cfRule type="expression" dxfId="3" priority="3352">
      <formula>IF(COUNTIF($F$62:$Y$70,"="&amp;F8),FALSE,TRUE)</formula>
    </cfRule>
    <cfRule type="expression" dxfId="2" priority="3353">
      <formula>H8="j"</formula>
    </cfRule>
    <cfRule type="expression" dxfId="1" priority="3354">
      <formula>G8="n"</formula>
    </cfRule>
    <cfRule type="duplicateValues" dxfId="0" priority="3355" stopIfTrue="1"/>
  </conditionalFormatting>
  <pageMargins left="0.39370078740157483" right="0.39370078740157483" top="0.78740157480314965" bottom="0.31496062992125984" header="0.59055118110236227" footer="0"/>
  <pageSetup paperSize="9" fitToHeight="0" orientation="portrait" useFirstPageNumber="1" verticalDpi="300" r:id="rId1"/>
  <headerFooter alignWithMargins="0">
    <oddHeader>&amp;R&amp;"Arial,Regular"&amp;9Page &amp;P of &amp;N</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09"/>
  <sheetViews>
    <sheetView showGridLines="0" showRowColHeaders="0" zoomScaleNormal="100" workbookViewId="0">
      <pane ySplit="2" topLeftCell="A3" activePane="bottomLeft" state="frozen"/>
      <selection activeCell="G1" sqref="G1"/>
      <selection pane="bottomLeft" activeCell="K1" sqref="K1"/>
    </sheetView>
  </sheetViews>
  <sheetFormatPr defaultRowHeight="12.75" x14ac:dyDescent="0.2"/>
  <cols>
    <col min="1" max="1" width="5.5703125" style="277" customWidth="1"/>
    <col min="2" max="2" width="29.85546875" style="277" bestFit="1" customWidth="1"/>
    <col min="3" max="3" width="6.7109375" style="277" customWidth="1"/>
    <col min="4" max="4" width="7.42578125" style="277" bestFit="1" customWidth="1"/>
    <col min="5" max="5" width="9.140625" style="277" customWidth="1"/>
    <col min="6" max="6" width="6.7109375" style="277" bestFit="1" customWidth="1"/>
    <col min="7" max="7" width="6.7109375" style="277" customWidth="1"/>
    <col min="8" max="8" width="9.140625" style="277" customWidth="1"/>
    <col min="9" max="16384" width="9.140625" style="277"/>
  </cols>
  <sheetData>
    <row r="1" spans="1:9" x14ac:dyDescent="0.2">
      <c r="A1" s="31" t="str">
        <f>UPPER((Kalend!E5)&amp;" - "&amp;(Kalend!C5)&amp;" - "&amp;(Kalend!D5))</f>
        <v>A - VÄLISHOOAJA AVAVÕISTLUS - LOOSIDUO</v>
      </c>
      <c r="G1" s="495" t="str">
        <f>HYPERLINK("#'Kalend'!I1","Kalender")</f>
        <v>Kalender</v>
      </c>
      <c r="I1" s="495" t="str">
        <f>HYPERLINK("#'Reit'!T1","Reiting")</f>
        <v>Reiting</v>
      </c>
    </row>
    <row r="2" spans="1:9" x14ac:dyDescent="0.2">
      <c r="A2" s="2" t="str">
        <f>"Toimumisaeg: "&amp;(Kalend!A5)&amp;" kell "&amp;(Kalend!B5)</f>
        <v>Toimumisaeg: T, 01.05.2018 kell 11:00</v>
      </c>
    </row>
    <row r="3" spans="1:9" x14ac:dyDescent="0.2">
      <c r="A3" s="2" t="str">
        <f>"Toimumiskoht: "&amp;(Kalend!F5)</f>
        <v>Toimumiskoht: Voka petangihall</v>
      </c>
    </row>
    <row r="4" spans="1:9" x14ac:dyDescent="0.2">
      <c r="A4" s="2" t="str">
        <f>"Korraldaja: "&amp;(Kalend!G5)</f>
        <v>Korraldaja: K-Järve SHK, Ivar Viljaste</v>
      </c>
    </row>
    <row r="5" spans="1:9" x14ac:dyDescent="0.2">
      <c r="A5" s="55"/>
      <c r="B5" s="55"/>
      <c r="C5" s="55"/>
      <c r="D5" s="55"/>
      <c r="E5" s="55"/>
      <c r="F5" s="55"/>
      <c r="G5" s="55"/>
      <c r="H5" s="55"/>
    </row>
    <row r="6" spans="1:9" s="506" customFormat="1" x14ac:dyDescent="0.2">
      <c r="A6" s="580" t="s">
        <v>140</v>
      </c>
      <c r="B6" s="581"/>
      <c r="C6" s="501" t="s">
        <v>409</v>
      </c>
      <c r="D6" s="580" t="s">
        <v>410</v>
      </c>
      <c r="E6" s="580" t="s">
        <v>411</v>
      </c>
      <c r="F6" s="501" t="s">
        <v>412</v>
      </c>
      <c r="G6" s="501" t="s">
        <v>26</v>
      </c>
      <c r="H6" s="55"/>
    </row>
    <row r="7" spans="1:9" s="506" customFormat="1" x14ac:dyDescent="0.2">
      <c r="A7" s="580">
        <v>1</v>
      </c>
      <c r="B7" s="177" t="s">
        <v>413</v>
      </c>
      <c r="C7" s="582">
        <v>4</v>
      </c>
      <c r="D7" s="582"/>
      <c r="E7" s="510">
        <v>7</v>
      </c>
      <c r="F7" s="224"/>
      <c r="G7" s="510" t="str">
        <f>IF(AND(COUNT(F7:F10)=2,F7=MAX(F7:F10),COUNT(C7:F7)=3),A6&amp;"2",IF(AND(COUNT(E7:E10)=2,ISNUMBER(E7),E7=MIN(E7:E10),D7="",F7=""),A6&amp;"4",IF(AND(COUNT(D7:D10)=2,D7=MAX(D7:D10),E7="",F7=""),A6&amp;"1",IF(COUNT(F7:F10)=2,A6&amp;"3",""))))</f>
        <v>A4</v>
      </c>
      <c r="H7" s="55"/>
    </row>
    <row r="8" spans="1:9" s="506" customFormat="1" x14ac:dyDescent="0.2">
      <c r="A8" s="580">
        <v>2</v>
      </c>
      <c r="B8" s="583" t="s">
        <v>414</v>
      </c>
      <c r="C8" s="584">
        <v>13</v>
      </c>
      <c r="D8" s="582">
        <v>10</v>
      </c>
      <c r="E8" s="510" t="str">
        <f>IF(AND(B10="-",ISNUMBER(C8),C8&lt;C9),13,"")</f>
        <v/>
      </c>
      <c r="F8" s="224">
        <v>13</v>
      </c>
      <c r="G8" s="510" t="str">
        <f>IF(AND(COUNT(F7:F10)=2,F8=MAX(F7:F10),COUNT(C8:F8)=3),A6&amp;"2",IF(AND(COUNT(E7:E10)=2,ISNUMBER(E8),E8=MIN(E7:E10),D8="",F8=""),A6&amp;"4",IF(AND(COUNT(D7:D10)=2,D8=MAX(D7:D10),E8="",F8=""),A6&amp;"1",IF(COUNT(F7:F10)=2,A6&amp;"3",""))))</f>
        <v>A2</v>
      </c>
      <c r="H8" s="55"/>
    </row>
    <row r="9" spans="1:9" s="506" customFormat="1" x14ac:dyDescent="0.2">
      <c r="A9" s="580">
        <v>3</v>
      </c>
      <c r="B9" s="583" t="s">
        <v>415</v>
      </c>
      <c r="C9" s="584">
        <v>9</v>
      </c>
      <c r="D9" s="510"/>
      <c r="E9" s="510">
        <v>13</v>
      </c>
      <c r="F9" s="224">
        <v>9</v>
      </c>
      <c r="G9" s="510" t="str">
        <f>IF(AND(COUNT(F7:F10)=2,F9=MAX(F7:F10),COUNT(C9:F9)=3),A6&amp;"2",IF(AND(COUNT(E7:E10)=2,ISNUMBER(E9),E9=MIN(E7:E10),D9="",F9=""),A6&amp;"4",IF(AND(COUNT(D7:D10)=2,D9=MAX(D7:D10),E9="",F9=""),A6&amp;"1",IF(COUNT(F7:F10)=2,A6&amp;"3",""))))</f>
        <v>A3</v>
      </c>
      <c r="H9" s="55"/>
    </row>
    <row r="10" spans="1:9" s="506" customFormat="1" x14ac:dyDescent="0.2">
      <c r="A10" s="580">
        <v>4</v>
      </c>
      <c r="B10" s="585" t="s">
        <v>416</v>
      </c>
      <c r="C10" s="582">
        <v>13</v>
      </c>
      <c r="D10" s="582">
        <v>13</v>
      </c>
      <c r="E10" s="510"/>
      <c r="F10" s="224"/>
      <c r="G10" s="510" t="str">
        <f>IF(AND(COUNT(F7:F10)=2,F10=MAX(F7:F10),COUNT(C10:F10)=3),A6&amp;"2",IF(AND(COUNT(E7:E10)=2,ISNUMBER(E10),E10=MIN(E7:E10),D10="",F10=""),A6&amp;"4",IF(AND(COUNT(D7:D10)=2,D10=MAX(D7:D10),E10="",F10=""),A6&amp;"1",IF(COUNT(F7:F10)=2,A6&amp;"3",""))))</f>
        <v>A1</v>
      </c>
      <c r="H10" s="55"/>
    </row>
    <row r="11" spans="1:9" s="506" customFormat="1" x14ac:dyDescent="0.2">
      <c r="A11" s="32"/>
      <c r="B11" s="586"/>
      <c r="C11" s="32"/>
      <c r="D11" s="32"/>
      <c r="E11" s="32"/>
      <c r="F11" s="32"/>
      <c r="G11" s="586" t="s">
        <v>31</v>
      </c>
      <c r="H11" s="55"/>
    </row>
    <row r="12" spans="1:9" s="506" customFormat="1" x14ac:dyDescent="0.2">
      <c r="A12" s="580" t="s">
        <v>141</v>
      </c>
      <c r="B12" s="581"/>
      <c r="C12" s="501" t="s">
        <v>409</v>
      </c>
      <c r="D12" s="580" t="s">
        <v>410</v>
      </c>
      <c r="E12" s="580" t="s">
        <v>411</v>
      </c>
      <c r="F12" s="501" t="s">
        <v>412</v>
      </c>
      <c r="G12" s="501" t="s">
        <v>26</v>
      </c>
      <c r="H12" s="55"/>
    </row>
    <row r="13" spans="1:9" s="498" customFormat="1" x14ac:dyDescent="0.2">
      <c r="A13" s="580">
        <v>1</v>
      </c>
      <c r="B13" s="177" t="s">
        <v>417</v>
      </c>
      <c r="C13" s="582">
        <f>IF(B16="-",13,"")</f>
        <v>13</v>
      </c>
      <c r="D13" s="582">
        <v>5</v>
      </c>
      <c r="E13" s="510"/>
      <c r="F13" s="224">
        <v>7</v>
      </c>
      <c r="G13" s="510" t="str">
        <f>IF(AND(COUNT(F13:F16)=2,F13=MAX(F13:F16),COUNT(C13:F13)=3),A12&amp;"2",IF(AND(COUNT(E13:E16)=2,ISNUMBER(E13),E13=MIN(E13:E16),D13="",F13=""),A12&amp;"4",IF(AND(COUNT(D13:D16)=2,D13=MAX(D13:D16),E13="",F13=""),A12&amp;"1",IF(COUNT(F13:F16)=2,A12&amp;"3",""))))</f>
        <v>B3</v>
      </c>
      <c r="H13" s="55"/>
    </row>
    <row r="14" spans="1:9" s="498" customFormat="1" x14ac:dyDescent="0.2">
      <c r="A14" s="580">
        <v>2</v>
      </c>
      <c r="B14" s="583" t="s">
        <v>418</v>
      </c>
      <c r="C14" s="584">
        <v>8</v>
      </c>
      <c r="D14" s="582"/>
      <c r="E14" s="510">
        <v>13</v>
      </c>
      <c r="F14" s="224">
        <v>13</v>
      </c>
      <c r="G14" s="510" t="str">
        <f>IF(AND(COUNT(F13:F16)=2,F14=MAX(F13:F16),COUNT(C14:F14)=3),A12&amp;"2",IF(AND(COUNT(E13:E16)=2,ISNUMBER(E14),E14=MIN(E13:E16),D14="",F14=""),A12&amp;"4",IF(AND(COUNT(D13:D16)=2,D14=MAX(D13:D16),E14="",F14=""),A12&amp;"1",IF(COUNT(F13:F16)=2,A12&amp;"3",""))))</f>
        <v>B2</v>
      </c>
      <c r="H14" s="55"/>
    </row>
    <row r="15" spans="1:9" s="498" customFormat="1" x14ac:dyDescent="0.2">
      <c r="A15" s="580">
        <v>3</v>
      </c>
      <c r="B15" s="583" t="s">
        <v>419</v>
      </c>
      <c r="C15" s="584">
        <v>13</v>
      </c>
      <c r="D15" s="510">
        <v>13</v>
      </c>
      <c r="E15" s="510" t="str">
        <f>IF(AND(B16="-",ISNUMBER(C15),C15&lt;C14),13,"")</f>
        <v/>
      </c>
      <c r="F15" s="224"/>
      <c r="G15" s="510" t="str">
        <f>IF(AND(COUNT(F13:F16)=2,F15=MAX(F13:F16),COUNT(C15:F15)=3),A12&amp;"2",IF(AND(COUNT(E13:E16)=2,ISNUMBER(E15),E15=MIN(E13:E16),D15="",F15=""),A12&amp;"4",IF(AND(COUNT(D13:D16)=2,D15=MAX(D13:D16),E15="",F15=""),A12&amp;"1",IF(COUNT(F13:F16)=2,A12&amp;"3",""))))</f>
        <v>B1</v>
      </c>
      <c r="H15" s="55"/>
    </row>
    <row r="16" spans="1:9" s="498" customFormat="1" x14ac:dyDescent="0.2">
      <c r="A16" s="580">
        <v>4</v>
      </c>
      <c r="B16" s="585" t="s">
        <v>31</v>
      </c>
      <c r="C16" s="582">
        <f>IF(B16="-",0,"")</f>
        <v>0</v>
      </c>
      <c r="D16" s="582"/>
      <c r="E16" s="510">
        <f>IF(B22="-",0,"")</f>
        <v>0</v>
      </c>
      <c r="F16" s="224"/>
      <c r="G16" s="510" t="str">
        <f>IF(AND(COUNT(F13:F16)=2,F16=MAX(F13:F16),COUNT(C16:F16)=3),A12&amp;"2",IF(AND(COUNT(E13:E16)=2,ISNUMBER(E16),E16=MIN(E13:E16),D16="",F16=""),A12&amp;"4",IF(AND(COUNT(D13:D16)=2,D16=MAX(D13:D16),E16="",F16=""),A12&amp;"1",IF(COUNT(F13:F16)=2,A12&amp;"3",""))))</f>
        <v>B4</v>
      </c>
      <c r="H16" s="55"/>
    </row>
    <row r="17" spans="1:9" s="498" customFormat="1" x14ac:dyDescent="0.2">
      <c r="A17" s="32"/>
      <c r="B17" s="32"/>
      <c r="C17" s="32"/>
      <c r="D17" s="32"/>
      <c r="E17" s="32"/>
      <c r="F17" s="32"/>
      <c r="G17" s="32"/>
      <c r="H17" s="55"/>
    </row>
    <row r="18" spans="1:9" s="498" customFormat="1" x14ac:dyDescent="0.2">
      <c r="A18" s="580" t="s">
        <v>142</v>
      </c>
      <c r="B18" s="581"/>
      <c r="C18" s="501" t="s">
        <v>409</v>
      </c>
      <c r="D18" s="580" t="s">
        <v>410</v>
      </c>
      <c r="E18" s="580" t="s">
        <v>411</v>
      </c>
      <c r="F18" s="501" t="s">
        <v>412</v>
      </c>
      <c r="G18" s="501" t="s">
        <v>26</v>
      </c>
      <c r="H18" s="55"/>
    </row>
    <row r="19" spans="1:9" s="506" customFormat="1" x14ac:dyDescent="0.2">
      <c r="A19" s="580">
        <v>1</v>
      </c>
      <c r="B19" s="177" t="s">
        <v>420</v>
      </c>
      <c r="C19" s="582">
        <f>IF(B22="-",13,"")</f>
        <v>13</v>
      </c>
      <c r="D19" s="582">
        <v>1</v>
      </c>
      <c r="E19" s="510"/>
      <c r="F19" s="224">
        <v>13</v>
      </c>
      <c r="G19" s="510" t="str">
        <f>IF(AND(COUNT(F19:F22)=2,F19=MAX(F19:F22),COUNT(C19:F19)=3),A18&amp;"2",IF(AND(COUNT(E19:E22)=2,ISNUMBER(E19),E19=MIN(E19:E22),D19="",F19=""),A18&amp;"4",IF(AND(COUNT(D19:D22)=2,D19=MAX(D19:D22),E19="",F19=""),A18&amp;"1",IF(COUNT(F19:F22)=2,A18&amp;"3",""))))</f>
        <v>C2</v>
      </c>
      <c r="H19" s="55"/>
    </row>
    <row r="20" spans="1:9" s="498" customFormat="1" x14ac:dyDescent="0.2">
      <c r="A20" s="580">
        <v>2</v>
      </c>
      <c r="B20" s="583" t="s">
        <v>421</v>
      </c>
      <c r="C20" s="584">
        <v>5</v>
      </c>
      <c r="D20" s="582"/>
      <c r="E20" s="510">
        <f>IF(AND(B22="-",ISNUMBER(C20),C20&lt;C21),13,"")</f>
        <v>13</v>
      </c>
      <c r="F20" s="224">
        <v>4</v>
      </c>
      <c r="G20" s="510" t="str">
        <f>IF(AND(COUNT(F19:F22)=2,F20=MAX(F19:F22),COUNT(C20:F20)=3),A18&amp;"2",IF(AND(COUNT(E19:E22)=2,ISNUMBER(E20),E20=MIN(E19:E22),D20="",F20=""),A18&amp;"4",IF(AND(COUNT(D19:D22)=2,D20=MAX(D19:D22),E20="",F20=""),A18&amp;"1",IF(COUNT(F19:F22)=2,A18&amp;"3",""))))</f>
        <v>C3</v>
      </c>
      <c r="H20" s="55"/>
    </row>
    <row r="21" spans="1:9" s="498" customFormat="1" x14ac:dyDescent="0.2">
      <c r="A21" s="580">
        <v>3</v>
      </c>
      <c r="B21" s="583" t="s">
        <v>422</v>
      </c>
      <c r="C21" s="584">
        <v>13</v>
      </c>
      <c r="D21" s="510">
        <v>13</v>
      </c>
      <c r="E21" s="510" t="str">
        <f>IF(AND(B22="-",ISNUMBER(C21),C21&lt;C20),13,"")</f>
        <v/>
      </c>
      <c r="F21" s="224"/>
      <c r="G21" s="510" t="str">
        <f>IF(AND(COUNT(F19:F22)=2,F21=MAX(F19:F22),COUNT(C21:F21)=3),A18&amp;"2",IF(AND(COUNT(E19:E22)=2,ISNUMBER(E21),E21=MIN(E19:E22),D21="",F21=""),A18&amp;"4",IF(AND(COUNT(D19:D22)=2,D21=MAX(D19:D22),E21="",F21=""),A18&amp;"1",IF(COUNT(F19:F22)=2,A18&amp;"3",""))))</f>
        <v>C1</v>
      </c>
      <c r="H21" s="55"/>
    </row>
    <row r="22" spans="1:9" s="498" customFormat="1" x14ac:dyDescent="0.2">
      <c r="A22" s="580">
        <v>4</v>
      </c>
      <c r="B22" s="585" t="s">
        <v>31</v>
      </c>
      <c r="C22" s="582">
        <f>IF(B22="-",0,"")</f>
        <v>0</v>
      </c>
      <c r="D22" s="582"/>
      <c r="E22" s="510">
        <f>IF(B22="-",0,"")</f>
        <v>0</v>
      </c>
      <c r="F22" s="224"/>
      <c r="G22" s="510" t="str">
        <f>IF(AND(COUNT(F19:F22)=2,F22=MAX(F19:F22),COUNT(C22:F22)=3),A18&amp;"2",IF(AND(COUNT(E19:E22)=2,ISNUMBER(E22),E22=MIN(E19:E22),D22="",F22=""),A18&amp;"4",IF(AND(COUNT(D19:D22)=2,D22=MAX(D19:D22),E22="",F22=""),A18&amp;"1",IF(COUNT(F19:F22)=2,A18&amp;"3",""))))</f>
        <v>C4</v>
      </c>
      <c r="H22" s="55"/>
    </row>
    <row r="23" spans="1:9" s="498" customFormat="1" hidden="1" x14ac:dyDescent="0.2">
      <c r="A23" s="32"/>
      <c r="B23" s="32"/>
      <c r="C23" s="32"/>
      <c r="D23" s="32"/>
      <c r="E23" s="32"/>
      <c r="F23" s="32"/>
      <c r="G23" s="32"/>
      <c r="H23" s="55"/>
    </row>
    <row r="24" spans="1:9" s="498" customFormat="1" hidden="1" x14ac:dyDescent="0.2">
      <c r="A24" s="580" t="s">
        <v>143</v>
      </c>
      <c r="B24" s="581"/>
      <c r="C24" s="501" t="s">
        <v>409</v>
      </c>
      <c r="D24" s="580" t="s">
        <v>410</v>
      </c>
      <c r="E24" s="580" t="s">
        <v>411</v>
      </c>
      <c r="F24" s="501" t="s">
        <v>412</v>
      </c>
      <c r="G24" s="501" t="s">
        <v>26</v>
      </c>
      <c r="H24" s="55"/>
    </row>
    <row r="25" spans="1:9" s="498" customFormat="1" hidden="1" x14ac:dyDescent="0.2">
      <c r="A25" s="580">
        <v>1</v>
      </c>
      <c r="B25" s="177"/>
      <c r="C25" s="582" t="str">
        <f>IF(B28="-",13,"")</f>
        <v/>
      </c>
      <c r="D25" s="582"/>
      <c r="E25" s="510"/>
      <c r="F25" s="224"/>
      <c r="G25" s="510" t="str">
        <f>IF(AND(COUNT(F25:F28)=2,F25=MAX(F25:F28),COUNT(C25:F25)=3),A24&amp;"2",IF(AND(COUNT(E25:E28)=2,ISNUMBER(E25),E25=MIN(E25:E28),D25="",F25=""),A24&amp;"4",IF(AND(COUNT(D25:D28)=2,D25=MAX(D25:D28),E25="",F25=""),A24&amp;"1",IF(COUNT(F25:F28)=2,A24&amp;"3",""))))</f>
        <v/>
      </c>
      <c r="H25" s="55"/>
    </row>
    <row r="26" spans="1:9" s="498" customFormat="1" hidden="1" x14ac:dyDescent="0.2">
      <c r="A26" s="580">
        <v>2</v>
      </c>
      <c r="B26" s="583"/>
      <c r="C26" s="584"/>
      <c r="D26" s="582"/>
      <c r="E26" s="510" t="str">
        <f>IF(AND(B28="-",ISNUMBER(C26),C26&lt;C27),13,"")</f>
        <v/>
      </c>
      <c r="F26" s="224"/>
      <c r="G26" s="510" t="str">
        <f>IF(AND(COUNT(F25:F28)=2,F26=MAX(F25:F28),COUNT(C26:F26)=3),A24&amp;"2",IF(AND(COUNT(E25:E28)=2,ISNUMBER(E26),E26=MIN(E25:E28),D26="",F26=""),A24&amp;"4",IF(AND(COUNT(D25:D28)=2,D26=MAX(D25:D28),E26="",F26=""),A24&amp;"1",IF(COUNT(F25:F28)=2,A24&amp;"3",""))))</f>
        <v/>
      </c>
      <c r="H26" s="55"/>
    </row>
    <row r="27" spans="1:9" s="506" customFormat="1" hidden="1" x14ac:dyDescent="0.2">
      <c r="A27" s="580">
        <v>3</v>
      </c>
      <c r="B27" s="583"/>
      <c r="C27" s="584"/>
      <c r="D27" s="510"/>
      <c r="E27" s="510" t="str">
        <f>IF(AND(B28="-",ISNUMBER(C27),C27&lt;C26),13,"")</f>
        <v/>
      </c>
      <c r="F27" s="224"/>
      <c r="G27" s="510" t="str">
        <f>IF(AND(COUNT(F25:F28)=2,F27=MAX(F25:F28),COUNT(C27:F27)=3),A24&amp;"2",IF(AND(COUNT(E25:E28)=2,ISNUMBER(E27),E27=MIN(E25:E28),D27="",F27=""),A24&amp;"4",IF(AND(COUNT(D25:D28)=2,D27=MAX(D25:D28),E27="",F27=""),A24&amp;"1",IF(COUNT(F25:F28)=2,A24&amp;"3",""))))</f>
        <v/>
      </c>
      <c r="H27" s="55"/>
    </row>
    <row r="28" spans="1:9" s="506" customFormat="1" hidden="1" x14ac:dyDescent="0.2">
      <c r="A28" s="580">
        <v>4</v>
      </c>
      <c r="B28" s="585"/>
      <c r="C28" s="582" t="str">
        <f>IF(B28="-",0,"")</f>
        <v/>
      </c>
      <c r="D28" s="582"/>
      <c r="E28" s="510" t="str">
        <f>IF(B28="-",0,"")</f>
        <v/>
      </c>
      <c r="F28" s="224"/>
      <c r="G28" s="510" t="str">
        <f>IF(AND(COUNT(F25:F28)=2,F28=MAX(F25:F28),COUNT(C28:F28)=3),A24&amp;"2",IF(AND(COUNT(E25:E28)=2,ISNUMBER(E28),E28=MIN(E25:E28),D28="",F28=""),A24&amp;"4",IF(AND(COUNT(D25:D28)=2,D28=MAX(D25:D28),E28="",F28=""),A24&amp;"1",IF(COUNT(F25:F28)=2,A24&amp;"3",""))))</f>
        <v/>
      </c>
      <c r="H28" s="55"/>
    </row>
    <row r="29" spans="1:9" s="506" customFormat="1" x14ac:dyDescent="0.2">
      <c r="A29" s="55"/>
      <c r="B29" s="55"/>
      <c r="C29" s="55"/>
      <c r="D29" s="55"/>
      <c r="E29" s="55"/>
      <c r="F29" s="55"/>
      <c r="G29" s="55"/>
      <c r="H29" s="55"/>
    </row>
    <row r="30" spans="1:9" s="506" customFormat="1" x14ac:dyDescent="0.2">
      <c r="A30" s="553" t="s">
        <v>427</v>
      </c>
      <c r="B30" s="554"/>
      <c r="C30" s="525"/>
      <c r="D30" s="525"/>
      <c r="E30" s="525"/>
      <c r="F30" s="527"/>
      <c r="G30" s="550"/>
      <c r="H30" s="55"/>
      <c r="I30" s="55"/>
    </row>
    <row r="31" spans="1:9" s="506" customFormat="1" x14ac:dyDescent="0.2">
      <c r="A31" s="55"/>
      <c r="B31" s="55"/>
      <c r="C31" s="55"/>
      <c r="D31" s="55"/>
      <c r="E31" s="55"/>
      <c r="F31" s="55"/>
      <c r="G31" s="55"/>
      <c r="H31" s="55"/>
      <c r="I31" s="55"/>
    </row>
    <row r="32" spans="1:9" s="506" customFormat="1" x14ac:dyDescent="0.2">
      <c r="A32" s="555" t="s">
        <v>378</v>
      </c>
      <c r="B32" s="556" t="str">
        <f>IFERROR(INDEX(B$7:B$28,MATCH(A32,G$7:G$28,0)),"")</f>
        <v>Ivar Viljaste, Tõnu Kapper</v>
      </c>
      <c r="C32" s="557">
        <f>IF(B32="-",0,IF(B34="-",13,""))</f>
        <v>13</v>
      </c>
      <c r="D32" s="55"/>
      <c r="E32" s="55"/>
      <c r="F32" s="55"/>
      <c r="G32" s="55"/>
      <c r="H32" s="55"/>
      <c r="I32" s="55"/>
    </row>
    <row r="33" spans="1:9" s="506" customFormat="1" x14ac:dyDescent="0.2">
      <c r="A33" s="558"/>
      <c r="B33" s="559"/>
      <c r="C33" s="560" t="str">
        <f>IF(COUNT(C32,C34)=2,IF(C32&gt;C34,B32,B34),"")</f>
        <v>Ivar Viljaste, Tõnu Kapper</v>
      </c>
      <c r="D33" s="55"/>
      <c r="E33" s="557">
        <v>13</v>
      </c>
      <c r="F33" s="55"/>
      <c r="G33" s="55"/>
      <c r="H33" s="55"/>
      <c r="I33" s="55"/>
    </row>
    <row r="34" spans="1:9" s="506" customFormat="1" x14ac:dyDescent="0.2">
      <c r="A34" s="558" t="s">
        <v>31</v>
      </c>
      <c r="B34" s="561" t="s">
        <v>31</v>
      </c>
      <c r="C34" s="562">
        <f>IF(B34="-",0,IF(B32="-",13,""))</f>
        <v>0</v>
      </c>
      <c r="D34" s="563"/>
      <c r="E34" s="55"/>
      <c r="F34" s="55"/>
      <c r="G34" s="55"/>
      <c r="H34" s="55"/>
      <c r="I34" s="55"/>
    </row>
    <row r="35" spans="1:9" s="506" customFormat="1" x14ac:dyDescent="0.2">
      <c r="A35" s="558"/>
      <c r="B35" s="539"/>
      <c r="C35" s="55"/>
      <c r="D35" s="564"/>
      <c r="E35" s="560" t="str">
        <f>IF(COUNT(E33,E37)=2,IF(E33&gt;E37,C33,C37),"")</f>
        <v>Ivar Viljaste, Tõnu Kapper</v>
      </c>
      <c r="F35" s="55"/>
      <c r="G35" s="557">
        <v>11</v>
      </c>
      <c r="H35" s="55"/>
      <c r="I35" s="55"/>
    </row>
    <row r="36" spans="1:9" s="506" customFormat="1" x14ac:dyDescent="0.2">
      <c r="A36" s="558" t="s">
        <v>382</v>
      </c>
      <c r="B36" s="556" t="str">
        <f>IFERROR(INDEX(B$7:B$28,MATCH(A36,G$7:G$28,0)),"")</f>
        <v>Janek Tarto, Karla Purgats</v>
      </c>
      <c r="C36" s="557">
        <v>2</v>
      </c>
      <c r="D36" s="564"/>
      <c r="E36" s="565"/>
      <c r="F36" s="563"/>
      <c r="G36" s="55"/>
      <c r="H36" s="55"/>
      <c r="I36" s="55"/>
    </row>
    <row r="37" spans="1:9" s="506" customFormat="1" x14ac:dyDescent="0.2">
      <c r="A37" s="558"/>
      <c r="B37" s="559"/>
      <c r="C37" s="560" t="str">
        <f>IF(COUNT(C36,C38)=2,IF(C36&gt;C38,B36,B38),"")</f>
        <v>Jaan Saar, Tõnu Piik</v>
      </c>
      <c r="D37" s="566"/>
      <c r="E37" s="562">
        <v>3</v>
      </c>
      <c r="F37" s="564"/>
      <c r="G37" s="55"/>
      <c r="H37" s="55"/>
      <c r="I37" s="55"/>
    </row>
    <row r="38" spans="1:9" s="506" customFormat="1" x14ac:dyDescent="0.2">
      <c r="A38" s="558" t="s">
        <v>384</v>
      </c>
      <c r="B38" s="561" t="str">
        <f>IFERROR(INDEX(B$7:B$28,MATCH(A38,G$7:G$28,0)),"")</f>
        <v>Jaan Saar, Tõnu Piik</v>
      </c>
      <c r="C38" s="562">
        <v>13</v>
      </c>
      <c r="D38" s="55"/>
      <c r="E38" s="554"/>
      <c r="F38" s="564"/>
      <c r="G38" s="55"/>
      <c r="H38" s="55"/>
      <c r="I38" s="55"/>
    </row>
    <row r="39" spans="1:9" s="506" customFormat="1" ht="13.5" thickBot="1" x14ac:dyDescent="0.25">
      <c r="A39" s="538"/>
      <c r="B39" s="539"/>
      <c r="C39" s="55"/>
      <c r="D39" s="55"/>
      <c r="E39" s="554"/>
      <c r="F39" s="564"/>
      <c r="G39" s="55"/>
      <c r="H39" s="567" t="str">
        <f>IF(COUNT(G35,G43)=2,IF(G35&gt;G43,E35,E43),"")</f>
        <v>Jaan Sepp, Viktor Švarõgin</v>
      </c>
      <c r="I39" s="55"/>
    </row>
    <row r="40" spans="1:9" s="506" customFormat="1" x14ac:dyDescent="0.2">
      <c r="A40" s="555" t="s">
        <v>381</v>
      </c>
      <c r="B40" s="556" t="str">
        <f>IFERROR(INDEX(B$7:B$28,MATCH(A40,G$7:G$28,0)),"")</f>
        <v>Jaanus Onton, Taavi Press</v>
      </c>
      <c r="C40" s="557">
        <v>13</v>
      </c>
      <c r="D40" s="55"/>
      <c r="E40" s="55"/>
      <c r="F40" s="564"/>
      <c r="G40" s="568"/>
      <c r="H40" s="569" t="s">
        <v>383</v>
      </c>
      <c r="I40" s="570"/>
    </row>
    <row r="41" spans="1:9" s="498" customFormat="1" x14ac:dyDescent="0.2">
      <c r="A41" s="558"/>
      <c r="B41" s="559"/>
      <c r="C41" s="560" t="str">
        <f>IF(COUNT(C40,C42)=2,IF(C40&gt;C42,B40,B42),"")</f>
        <v>Jaanus Onton, Taavi Press</v>
      </c>
      <c r="D41" s="55"/>
      <c r="E41" s="557">
        <v>1</v>
      </c>
      <c r="F41" s="564"/>
      <c r="G41" s="554"/>
      <c r="H41" s="55"/>
      <c r="I41" s="55"/>
    </row>
    <row r="42" spans="1:9" s="498" customFormat="1" x14ac:dyDescent="0.2">
      <c r="A42" s="558" t="s">
        <v>385</v>
      </c>
      <c r="B42" s="561" t="str">
        <f>IFERROR(INDEX(B$7:B$28,MATCH(A42,G$7:G$28,0)),"")</f>
        <v>Illar Tõnurist, Oleg Rõndenkov</v>
      </c>
      <c r="C42" s="562">
        <v>10</v>
      </c>
      <c r="D42" s="563"/>
      <c r="E42" s="55"/>
      <c r="F42" s="564"/>
      <c r="G42" s="554"/>
      <c r="H42" s="55"/>
      <c r="I42" s="55"/>
    </row>
    <row r="43" spans="1:9" s="498" customFormat="1" x14ac:dyDescent="0.2">
      <c r="A43" s="558"/>
      <c r="B43" s="539"/>
      <c r="C43" s="55"/>
      <c r="D43" s="564"/>
      <c r="E43" s="560" t="str">
        <f>IF(COUNT(E41,E45)=2,IF(E41&gt;E45,C41,C45),"")</f>
        <v>Jaan Sepp, Viktor Švarõgin</v>
      </c>
      <c r="F43" s="566"/>
      <c r="G43" s="562">
        <v>13</v>
      </c>
      <c r="H43" s="55"/>
      <c r="I43" s="55"/>
    </row>
    <row r="44" spans="1:9" s="498" customFormat="1" ht="13.5" thickBot="1" x14ac:dyDescent="0.25">
      <c r="A44" s="558" t="s">
        <v>380</v>
      </c>
      <c r="B44" s="556" t="str">
        <f>IFERROR(INDEX(B$7:B$28,MATCH(A44,G$7:G$28,0)),"")</f>
        <v>Jaan Sepp, Viktor Švarõgin</v>
      </c>
      <c r="C44" s="557">
        <f>IF(B44="-",0,IF(B46="-",13,""))</f>
        <v>13</v>
      </c>
      <c r="D44" s="564"/>
      <c r="E44" s="565"/>
      <c r="F44" s="554"/>
      <c r="G44" s="554"/>
      <c r="H44" s="567" t="str">
        <f>IF(COUNT(G35,G43)=2,IF(G35&lt;G43,E35,E43),"")</f>
        <v>Ivar Viljaste, Tõnu Kapper</v>
      </c>
      <c r="I44" s="571"/>
    </row>
    <row r="45" spans="1:9" s="498" customFormat="1" x14ac:dyDescent="0.2">
      <c r="A45" s="558"/>
      <c r="B45" s="559"/>
      <c r="C45" s="560" t="str">
        <f>IF(COUNT(C44,C46)=2,IF(C44&gt;C46,B44,B46),"")</f>
        <v>Jaan Sepp, Viktor Švarõgin</v>
      </c>
      <c r="D45" s="566"/>
      <c r="E45" s="562">
        <v>13</v>
      </c>
      <c r="F45" s="55"/>
      <c r="G45" s="554"/>
      <c r="H45" s="569" t="s">
        <v>386</v>
      </c>
      <c r="I45" s="554"/>
    </row>
    <row r="46" spans="1:9" s="498" customFormat="1" x14ac:dyDescent="0.2">
      <c r="A46" s="558" t="s">
        <v>31</v>
      </c>
      <c r="B46" s="561" t="s">
        <v>31</v>
      </c>
      <c r="C46" s="562">
        <f>IF(B46="-",0,IF(B44="-",13,""))</f>
        <v>0</v>
      </c>
      <c r="D46" s="55"/>
      <c r="E46" s="554"/>
      <c r="F46" s="554"/>
      <c r="G46" s="554"/>
      <c r="H46" s="55"/>
      <c r="I46" s="55"/>
    </row>
    <row r="47" spans="1:9" s="506" customFormat="1" x14ac:dyDescent="0.2">
      <c r="A47" s="538"/>
      <c r="B47" s="539"/>
      <c r="C47" s="55"/>
      <c r="D47" s="55"/>
      <c r="E47" s="551" t="str">
        <f>IF(COUNT(E33,E37)=2,IF(E33&lt;E37,C33,C37),"")</f>
        <v>Jaan Saar, Tõnu Piik</v>
      </c>
      <c r="F47" s="55"/>
      <c r="G47" s="557">
        <v>0</v>
      </c>
      <c r="H47" s="55"/>
      <c r="I47" s="55"/>
    </row>
    <row r="48" spans="1:9" s="498" customFormat="1" ht="13.5" thickBot="1" x14ac:dyDescent="0.25">
      <c r="A48" s="55"/>
      <c r="B48" s="55"/>
      <c r="C48" s="55"/>
      <c r="D48" s="55"/>
      <c r="E48" s="587"/>
      <c r="F48" s="563"/>
      <c r="G48" s="571"/>
      <c r="H48" s="567" t="str">
        <f>IF(COUNT(G47,G49)=2,IF(G47&gt;G49,E47,E49),"")</f>
        <v>Jaanus Onton, Taavi Press</v>
      </c>
      <c r="I48" s="571"/>
    </row>
    <row r="49" spans="1:9" s="498" customFormat="1" x14ac:dyDescent="0.2">
      <c r="A49" s="55"/>
      <c r="B49" s="55"/>
      <c r="C49" s="55"/>
      <c r="D49" s="55"/>
      <c r="E49" s="572" t="str">
        <f>IF(COUNT(E41,E45)=2,IF(E41&lt;E45,C41,C45),"")</f>
        <v>Jaanus Onton, Taavi Press</v>
      </c>
      <c r="F49" s="566"/>
      <c r="G49" s="562">
        <v>13</v>
      </c>
      <c r="H49" s="523" t="s">
        <v>388</v>
      </c>
      <c r="I49" s="554"/>
    </row>
    <row r="50" spans="1:9" s="498" customFormat="1" x14ac:dyDescent="0.2">
      <c r="A50" s="55"/>
      <c r="B50" s="55"/>
      <c r="C50" s="55"/>
      <c r="D50" s="55"/>
      <c r="E50" s="55"/>
      <c r="F50" s="55"/>
      <c r="G50" s="55"/>
      <c r="H50" s="554"/>
      <c r="I50" s="554"/>
    </row>
    <row r="51" spans="1:9" s="498" customFormat="1" ht="13.5" thickBot="1" x14ac:dyDescent="0.25">
      <c r="A51" s="55"/>
      <c r="B51" s="55"/>
      <c r="C51" s="55"/>
      <c r="D51" s="55"/>
      <c r="E51" s="554"/>
      <c r="F51" s="554"/>
      <c r="G51" s="55"/>
      <c r="H51" s="567" t="str">
        <f>IF(COUNT(G47,G49)=2,IF(G47&lt;G49,E47,E49),"")</f>
        <v>Jaan Saar, Tõnu Piik</v>
      </c>
      <c r="I51" s="571"/>
    </row>
    <row r="52" spans="1:9" s="498" customFormat="1" x14ac:dyDescent="0.2">
      <c r="A52" s="55"/>
      <c r="B52" s="55"/>
      <c r="C52" s="55"/>
      <c r="D52" s="55"/>
      <c r="E52" s="55"/>
      <c r="F52" s="55"/>
      <c r="G52" s="55"/>
      <c r="H52" s="538" t="s">
        <v>389</v>
      </c>
      <c r="I52" s="55"/>
    </row>
    <row r="53" spans="1:9" s="498" customFormat="1" x14ac:dyDescent="0.2">
      <c r="A53" s="55"/>
      <c r="B53" s="55"/>
      <c r="C53" s="572" t="str">
        <f>IF(COUNT(C32,C34)=2,IF(C32&lt;C34,B32,B34),"")</f>
        <v>-</v>
      </c>
      <c r="D53" s="55"/>
      <c r="E53" s="557">
        <f>IF(C53="-",0,IF(C55="-",13,""))</f>
        <v>0</v>
      </c>
      <c r="F53" s="557"/>
      <c r="G53" s="557"/>
      <c r="H53" s="55"/>
      <c r="I53" s="55"/>
    </row>
    <row r="54" spans="1:9" s="498" customFormat="1" x14ac:dyDescent="0.2">
      <c r="A54" s="55"/>
      <c r="B54" s="55"/>
      <c r="C54" s="588"/>
      <c r="D54" s="573"/>
      <c r="E54" s="560" t="str">
        <f>IF(COUNT(E53,E55)=2,IF(E53&gt;E55,C53,C55),"")</f>
        <v>Janek Tarto, Karla Purgats</v>
      </c>
      <c r="F54" s="55"/>
      <c r="G54" s="557">
        <v>13</v>
      </c>
      <c r="H54" s="55"/>
      <c r="I54" s="55"/>
    </row>
    <row r="55" spans="1:9" s="506" customFormat="1" x14ac:dyDescent="0.2">
      <c r="A55" s="55"/>
      <c r="B55" s="55"/>
      <c r="C55" s="572" t="str">
        <f>IF(COUNT(C36,C38)=2,IF(C36&lt;C38,B36,B38),"")</f>
        <v>Janek Tarto, Karla Purgats</v>
      </c>
      <c r="D55" s="574"/>
      <c r="E55" s="562">
        <f>IF(C55="-",0,IF(C53="-",13,""))</f>
        <v>13</v>
      </c>
      <c r="F55" s="573"/>
      <c r="G55" s="557"/>
      <c r="H55" s="55"/>
      <c r="I55" s="55"/>
    </row>
    <row r="56" spans="1:9" s="506" customFormat="1" ht="13.5" thickBot="1" x14ac:dyDescent="0.25">
      <c r="A56" s="55"/>
      <c r="B56" s="55"/>
      <c r="C56" s="557"/>
      <c r="D56" s="557"/>
      <c r="E56" s="575"/>
      <c r="F56" s="576"/>
      <c r="G56" s="557"/>
      <c r="H56" s="567" t="str">
        <f>IF(COUNT(G54,G58)=2,IF(G54&gt;G58,E54,E58),"")</f>
        <v>Janek Tarto, Karla Purgats</v>
      </c>
      <c r="I56" s="55"/>
    </row>
    <row r="57" spans="1:9" s="506" customFormat="1" x14ac:dyDescent="0.2">
      <c r="A57" s="55"/>
      <c r="B57" s="55"/>
      <c r="C57" s="572" t="str">
        <f>IF(COUNT(C40,C42)=2,IF(C40&lt;C42,B40,B42),"")</f>
        <v>Illar Tõnurist, Oleg Rõndenkov</v>
      </c>
      <c r="D57" s="557"/>
      <c r="E57" s="557">
        <f>IF(C57="-",0,IF(C59="-",13,""))</f>
        <v>13</v>
      </c>
      <c r="F57" s="576"/>
      <c r="G57" s="577"/>
      <c r="H57" s="569" t="s">
        <v>390</v>
      </c>
      <c r="I57" s="570"/>
    </row>
    <row r="58" spans="1:9" s="506" customFormat="1" x14ac:dyDescent="0.2">
      <c r="A58" s="55"/>
      <c r="B58" s="55"/>
      <c r="C58" s="588"/>
      <c r="D58" s="573"/>
      <c r="E58" s="560" t="str">
        <f>IF(COUNT(E57,E59)=2,IF(E57&gt;E59,C57,C59),"")</f>
        <v>Illar Tõnurist, Oleg Rõndenkov</v>
      </c>
      <c r="F58" s="566"/>
      <c r="G58" s="562">
        <v>5</v>
      </c>
      <c r="H58" s="55"/>
      <c r="I58" s="55"/>
    </row>
    <row r="59" spans="1:9" s="506" customFormat="1" ht="13.5" thickBot="1" x14ac:dyDescent="0.25">
      <c r="A59" s="55"/>
      <c r="B59" s="55"/>
      <c r="C59" s="572" t="str">
        <f>IF(COUNT(C44,C46)=2,IF(C44&lt;C46,B44,B46),"")</f>
        <v>-</v>
      </c>
      <c r="D59" s="574"/>
      <c r="E59" s="562">
        <f>IF(C59="-",0,IF(C57="-",13,""))</f>
        <v>0</v>
      </c>
      <c r="F59" s="557"/>
      <c r="G59" s="575"/>
      <c r="H59" s="567" t="str">
        <f>IF(COUNT(G54,G58)=2,IF(G54&lt;G58,E54,E58),"")</f>
        <v>Illar Tõnurist, Oleg Rõndenkov</v>
      </c>
      <c r="I59" s="571"/>
    </row>
    <row r="60" spans="1:9" s="506" customFormat="1" x14ac:dyDescent="0.2">
      <c r="A60" s="55"/>
      <c r="B60" s="55"/>
      <c r="C60" s="557"/>
      <c r="D60" s="557"/>
      <c r="E60" s="557"/>
      <c r="F60" s="557"/>
      <c r="G60" s="575"/>
      <c r="H60" s="569" t="s">
        <v>391</v>
      </c>
      <c r="I60" s="554"/>
    </row>
    <row r="61" spans="1:9" s="55" customFormat="1" x14ac:dyDescent="0.2">
      <c r="C61" s="557"/>
      <c r="D61" s="575"/>
      <c r="E61" s="551" t="str">
        <f>IF(COUNT(E53,E55)=2,IF(E53&lt;E55,C53,C55),"")</f>
        <v>-</v>
      </c>
      <c r="G61" s="557">
        <f>IF(E61="-",0,IF(E63="-",13,""))</f>
        <v>0</v>
      </c>
      <c r="H61" s="554"/>
      <c r="I61" s="554"/>
    </row>
    <row r="62" spans="1:9" s="55" customFormat="1" ht="13.5" thickBot="1" x14ac:dyDescent="0.25">
      <c r="C62" s="557"/>
      <c r="D62" s="575"/>
      <c r="E62" s="587"/>
      <c r="F62" s="563"/>
      <c r="G62" s="571"/>
      <c r="H62" s="567" t="str">
        <f>IF(COUNT(G61,G63)=2,IF(G61&gt;G63,E61,E63),"")</f>
        <v>-</v>
      </c>
      <c r="I62" s="571"/>
    </row>
    <row r="63" spans="1:9" s="55" customFormat="1" x14ac:dyDescent="0.2">
      <c r="C63" s="557"/>
      <c r="D63" s="575"/>
      <c r="E63" s="572" t="str">
        <f>IF(COUNT(E57,E59)=2,IF(E57&lt;E59,C57,C59),"")</f>
        <v>-</v>
      </c>
      <c r="F63" s="566"/>
      <c r="G63" s="562">
        <f>IF(E63="-",0,IF(E61="-",13,""))</f>
        <v>0</v>
      </c>
      <c r="H63" s="523"/>
      <c r="I63" s="554"/>
    </row>
    <row r="64" spans="1:9" s="55" customFormat="1" x14ac:dyDescent="0.2">
      <c r="D64" s="554"/>
      <c r="H64" s="554"/>
      <c r="I64" s="554"/>
    </row>
    <row r="65" spans="1:9" s="55" customFormat="1" ht="13.5" thickBot="1" x14ac:dyDescent="0.25">
      <c r="E65" s="554"/>
      <c r="F65" s="554"/>
      <c r="H65" s="571" t="str">
        <f>IF(COUNT(G61,G63)=2,IF(G61&lt;G63,E61,E63),"")</f>
        <v>-</v>
      </c>
      <c r="I65" s="571"/>
    </row>
    <row r="66" spans="1:9" s="55" customFormat="1" x14ac:dyDescent="0.2">
      <c r="E66" s="554"/>
      <c r="F66" s="554"/>
      <c r="H66" s="523"/>
    </row>
    <row r="67" spans="1:9" s="55" customFormat="1" x14ac:dyDescent="0.2"/>
    <row r="68" spans="1:9" s="55" customFormat="1" x14ac:dyDescent="0.2">
      <c r="A68" s="553" t="s">
        <v>423</v>
      </c>
      <c r="B68" s="554"/>
      <c r="C68" s="525"/>
      <c r="D68" s="525"/>
      <c r="E68" s="525"/>
      <c r="F68" s="527"/>
      <c r="G68" s="550"/>
    </row>
    <row r="69" spans="1:9" s="55" customFormat="1" x14ac:dyDescent="0.2"/>
    <row r="70" spans="1:9" s="55" customFormat="1" x14ac:dyDescent="0.2">
      <c r="A70" s="555" t="s">
        <v>394</v>
      </c>
      <c r="B70" s="556" t="str">
        <f>IFERROR(INDEX(B$7:B$22,MATCH(A70,G$7:G$22,0)),"")</f>
        <v>Andrei Grintšak, Einar Juhkam</v>
      </c>
      <c r="C70" s="557">
        <f>IF(B70="-",0,IF(B72="-",13,""))</f>
        <v>13</v>
      </c>
    </row>
    <row r="71" spans="1:9" s="55" customFormat="1" x14ac:dyDescent="0.2">
      <c r="A71" s="592"/>
      <c r="B71" s="559"/>
      <c r="C71" s="560" t="str">
        <f>IF(COUNT(C70,C72)=2,IF(C70&gt;C72,B70,B72),"")</f>
        <v>Andrei Grintšak, Einar Juhkam</v>
      </c>
      <c r="E71" s="557">
        <v>13</v>
      </c>
    </row>
    <row r="72" spans="1:9" s="55" customFormat="1" x14ac:dyDescent="0.2">
      <c r="A72" s="592" t="s">
        <v>31</v>
      </c>
      <c r="B72" s="561" t="s">
        <v>31</v>
      </c>
      <c r="C72" s="562">
        <f>IF(B72="-",0,IF(B70="-",13,""))</f>
        <v>0</v>
      </c>
      <c r="D72" s="563"/>
    </row>
    <row r="73" spans="1:9" s="55" customFormat="1" x14ac:dyDescent="0.2">
      <c r="A73" s="592"/>
      <c r="B73" s="539"/>
      <c r="D73" s="564"/>
      <c r="E73" s="560" t="str">
        <f>IF(COUNT(E71,E75)=2,IF(E71&gt;E75,C71,C75),"")</f>
        <v>Andrei Grintšak, Einar Juhkam</v>
      </c>
      <c r="G73" s="557">
        <v>13</v>
      </c>
    </row>
    <row r="74" spans="1:9" s="55" customFormat="1" x14ac:dyDescent="0.2">
      <c r="A74" s="592" t="s">
        <v>398</v>
      </c>
      <c r="B74" s="556" t="str">
        <f>IFERROR(INDEX(B$7:B$22,MATCH(A74,G$7:G$22,0)),"")</f>
        <v>Elmo Lageda, Henri Mitt</v>
      </c>
      <c r="C74" s="557">
        <f>IF(B74="-",0,IF(B76="-",13,""))</f>
        <v>13</v>
      </c>
      <c r="D74" s="564"/>
      <c r="E74" s="565"/>
      <c r="F74" s="563"/>
    </row>
    <row r="75" spans="1:9" s="55" customFormat="1" x14ac:dyDescent="0.2">
      <c r="A75" s="592"/>
      <c r="B75" s="559"/>
      <c r="C75" s="560" t="str">
        <f>IF(COUNT(C74,C76)=2,IF(C74&gt;C76,B74,B76),"")</f>
        <v>Elmo Lageda, Henri Mitt</v>
      </c>
      <c r="D75" s="566"/>
      <c r="E75" s="562">
        <v>9</v>
      </c>
      <c r="F75" s="564"/>
    </row>
    <row r="76" spans="1:9" s="55" customFormat="1" x14ac:dyDescent="0.2">
      <c r="A76" s="592" t="s">
        <v>400</v>
      </c>
      <c r="B76" s="561" t="str">
        <f>IFERROR(INDEX(B$7:B$22,MATCH(A76,G$7:G$22,0)),"")</f>
        <v>-</v>
      </c>
      <c r="C76" s="562">
        <f>IF(B76="-",0,IF(B74="-",13,""))</f>
        <v>0</v>
      </c>
      <c r="E76" s="554"/>
      <c r="F76" s="564"/>
    </row>
    <row r="77" spans="1:9" s="55" customFormat="1" ht="13.5" thickBot="1" x14ac:dyDescent="0.25">
      <c r="A77" s="593"/>
      <c r="B77" s="539"/>
      <c r="E77" s="554"/>
      <c r="F77" s="564"/>
      <c r="H77" s="567" t="str">
        <f>IF(COUNT(G73,G81)=2,IF(G73&gt;G81,E73,E81),"")</f>
        <v>Andrei Grintšak, Einar Juhkam</v>
      </c>
    </row>
    <row r="78" spans="1:9" s="55" customFormat="1" x14ac:dyDescent="0.2">
      <c r="A78" s="555" t="s">
        <v>397</v>
      </c>
      <c r="B78" s="556" t="str">
        <f>IFERROR(INDEX(B$7:B$22,MATCH(A78,G$7:G$22,0)),"")</f>
        <v>-</v>
      </c>
      <c r="C78" s="557">
        <f>IF(B78="-",0,IF(B80="-",13,""))</f>
        <v>0</v>
      </c>
      <c r="F78" s="564"/>
      <c r="G78" s="568"/>
      <c r="H78" s="569" t="s">
        <v>392</v>
      </c>
      <c r="I78" s="570"/>
    </row>
    <row r="79" spans="1:9" s="55" customFormat="1" x14ac:dyDescent="0.2">
      <c r="A79" s="558"/>
      <c r="B79" s="559"/>
      <c r="C79" s="560" t="str">
        <f>IF(COUNT(C78,C80)=2,IF(C78&gt;C80,B78,B80),"")</f>
        <v>Boriss Klubov, Urmas Jõeäär</v>
      </c>
      <c r="E79" s="557">
        <v>7</v>
      </c>
      <c r="F79" s="564"/>
      <c r="G79" s="554"/>
    </row>
    <row r="80" spans="1:9" s="55" customFormat="1" x14ac:dyDescent="0.2">
      <c r="A80" s="558" t="s">
        <v>401</v>
      </c>
      <c r="B80" s="561" t="str">
        <f>IFERROR(INDEX(B$7:B$22,MATCH(A80,G$7:G$22,0)),"")</f>
        <v>Boriss Klubov, Urmas Jõeäär</v>
      </c>
      <c r="C80" s="562">
        <f>IF(B80="-",0,IF(B78="-",13,""))</f>
        <v>13</v>
      </c>
      <c r="D80" s="563"/>
      <c r="F80" s="564"/>
      <c r="G80" s="554"/>
    </row>
    <row r="81" spans="1:9" s="55" customFormat="1" x14ac:dyDescent="0.2">
      <c r="A81" s="558"/>
      <c r="B81" s="539"/>
      <c r="D81" s="564"/>
      <c r="E81" s="560" t="str">
        <f>IF(COUNT(E79,E83)=2,IF(E79&gt;E83,C79,C83),"")</f>
        <v>Daniil Alekankin, Ljudmila Varendi</v>
      </c>
      <c r="F81" s="566"/>
      <c r="G81" s="562">
        <v>2</v>
      </c>
    </row>
    <row r="82" spans="1:9" s="55" customFormat="1" ht="13.5" thickBot="1" x14ac:dyDescent="0.25">
      <c r="A82" s="558" t="s">
        <v>396</v>
      </c>
      <c r="B82" s="556" t="str">
        <f>IFERROR(INDEX(B$7:B$22,MATCH(A82,G$7:G$22,0)),"")</f>
        <v>Daniil Alekankin, Ljudmila Varendi</v>
      </c>
      <c r="C82" s="557">
        <f>IF(B82="-",0,IF(B84="-",13,""))</f>
        <v>13</v>
      </c>
      <c r="D82" s="564"/>
      <c r="E82" s="565"/>
      <c r="F82" s="554"/>
      <c r="G82" s="554"/>
      <c r="H82" s="567" t="str">
        <f>IF(COUNT(G73,G81)=2,IF(G73&lt;G81,E73,E81),"")</f>
        <v>Daniil Alekankin, Ljudmila Varendi</v>
      </c>
      <c r="I82" s="571"/>
    </row>
    <row r="83" spans="1:9" s="55" customFormat="1" x14ac:dyDescent="0.2">
      <c r="A83" s="558"/>
      <c r="B83" s="559"/>
      <c r="C83" s="560" t="str">
        <f>IF(COUNT(C82,C84)=2,IF(C82&gt;C84,B82,B84),"")</f>
        <v>Daniil Alekankin, Ljudmila Varendi</v>
      </c>
      <c r="D83" s="566"/>
      <c r="E83" s="562">
        <v>13</v>
      </c>
      <c r="G83" s="554"/>
      <c r="H83" s="569" t="s">
        <v>393</v>
      </c>
      <c r="I83" s="554"/>
    </row>
    <row r="84" spans="1:9" s="55" customFormat="1" x14ac:dyDescent="0.2">
      <c r="A84" s="558" t="s">
        <v>31</v>
      </c>
      <c r="B84" s="561" t="s">
        <v>31</v>
      </c>
      <c r="C84" s="562">
        <f>IF(B84="-",0,IF(B82="-",13,""))</f>
        <v>0</v>
      </c>
      <c r="E84" s="554"/>
      <c r="F84" s="554"/>
      <c r="G84" s="554"/>
    </row>
    <row r="85" spans="1:9" s="55" customFormat="1" x14ac:dyDescent="0.2">
      <c r="A85" s="538"/>
      <c r="B85" s="539"/>
      <c r="E85" s="551" t="str">
        <f>IF(COUNT(E71,E75)=2,IF(E71&lt;E75,C71,C75),"")</f>
        <v>Elmo Lageda, Henri Mitt</v>
      </c>
      <c r="G85" s="557">
        <v>13</v>
      </c>
    </row>
    <row r="86" spans="1:9" s="55" customFormat="1" ht="13.5" thickBot="1" x14ac:dyDescent="0.25">
      <c r="E86" s="587"/>
      <c r="F86" s="563"/>
      <c r="G86" s="571"/>
      <c r="H86" s="567" t="str">
        <f>IF(COUNT(G85,G87)=2,IF(G85&gt;G87,E85,E87),"")</f>
        <v>Elmo Lageda, Henri Mitt</v>
      </c>
      <c r="I86" s="571"/>
    </row>
    <row r="87" spans="1:9" s="55" customFormat="1" x14ac:dyDescent="0.2">
      <c r="E87" s="572" t="str">
        <f>IF(COUNT(E79,E83)=2,IF(E79&lt;E83,C79,C83),"")</f>
        <v>Boriss Klubov, Urmas Jõeäär</v>
      </c>
      <c r="F87" s="566"/>
      <c r="G87" s="562">
        <v>8</v>
      </c>
      <c r="H87" s="523" t="s">
        <v>399</v>
      </c>
      <c r="I87" s="554"/>
    </row>
    <row r="88" spans="1:9" s="55" customFormat="1" x14ac:dyDescent="0.2">
      <c r="H88" s="554"/>
      <c r="I88" s="554"/>
    </row>
    <row r="89" spans="1:9" s="55" customFormat="1" ht="13.5" thickBot="1" x14ac:dyDescent="0.25">
      <c r="E89" s="554"/>
      <c r="F89" s="554"/>
      <c r="H89" s="567" t="str">
        <f>IF(COUNT(G85,G87)=2,IF(G85&lt;G87,E85,E87),"")</f>
        <v>Boriss Klubov, Urmas Jõeäär</v>
      </c>
      <c r="I89" s="571"/>
    </row>
    <row r="90" spans="1:9" s="55" customFormat="1" x14ac:dyDescent="0.2">
      <c r="H90" s="538" t="s">
        <v>402</v>
      </c>
    </row>
    <row r="91" spans="1:9" s="55" customFormat="1" hidden="1" x14ac:dyDescent="0.2"/>
    <row r="92" spans="1:9" s="55" customFormat="1" hidden="1" x14ac:dyDescent="0.2">
      <c r="A92" s="32"/>
      <c r="B92" s="32"/>
      <c r="C92" s="32"/>
      <c r="D92" s="32"/>
      <c r="E92" s="32"/>
      <c r="F92" s="32"/>
      <c r="G92" s="32"/>
      <c r="H92" s="32"/>
      <c r="I92" s="32"/>
    </row>
    <row r="93" spans="1:9" s="55" customFormat="1" hidden="1" x14ac:dyDescent="0.2">
      <c r="A93" s="32"/>
      <c r="B93" s="32"/>
      <c r="C93" s="32"/>
      <c r="D93" s="32"/>
      <c r="E93" s="32"/>
      <c r="F93" s="32"/>
      <c r="G93" s="32"/>
      <c r="H93" s="32"/>
      <c r="I93" s="32"/>
    </row>
    <row r="94" spans="1:9" s="55" customFormat="1" hidden="1" x14ac:dyDescent="0.2"/>
    <row r="95" spans="1:9" s="552" customFormat="1" hidden="1" x14ac:dyDescent="0.2"/>
    <row r="96" spans="1:9" hidden="1" x14ac:dyDescent="0.2">
      <c r="A96" s="32"/>
      <c r="B96" s="32"/>
      <c r="C96" s="32"/>
      <c r="D96" s="32"/>
      <c r="E96" s="32"/>
      <c r="F96" s="32"/>
      <c r="G96" s="32"/>
      <c r="H96" s="32"/>
      <c r="I96" s="32"/>
    </row>
    <row r="97" spans="1:9" hidden="1" x14ac:dyDescent="0.2">
      <c r="A97" s="32"/>
      <c r="B97" s="32"/>
      <c r="C97" s="32"/>
      <c r="D97" s="32"/>
      <c r="E97" s="32"/>
      <c r="F97" s="32"/>
      <c r="G97" s="32"/>
      <c r="H97" s="32"/>
      <c r="I97" s="32"/>
    </row>
    <row r="98" spans="1:9" hidden="1" x14ac:dyDescent="0.2">
      <c r="A98" s="32"/>
      <c r="B98" s="32"/>
      <c r="C98" s="32"/>
      <c r="D98" s="32"/>
      <c r="E98" s="32"/>
      <c r="F98" s="32"/>
      <c r="G98" s="32"/>
      <c r="H98" s="32"/>
      <c r="I98" s="32"/>
    </row>
    <row r="99" spans="1:9" hidden="1" x14ac:dyDescent="0.2">
      <c r="A99" s="32"/>
      <c r="B99" s="32"/>
      <c r="C99" s="32"/>
      <c r="D99" s="32"/>
      <c r="E99" s="32"/>
      <c r="F99" s="32"/>
      <c r="G99" s="32"/>
      <c r="H99" s="32"/>
      <c r="I99" s="32"/>
    </row>
    <row r="100" spans="1:9" hidden="1" x14ac:dyDescent="0.2">
      <c r="A100" s="32"/>
      <c r="B100" s="32"/>
      <c r="C100" s="32"/>
      <c r="D100" s="32"/>
      <c r="E100" s="32"/>
      <c r="F100" s="32"/>
      <c r="G100" s="32"/>
      <c r="H100" s="32"/>
      <c r="I100" s="32"/>
    </row>
    <row r="101" spans="1:9" hidden="1" x14ac:dyDescent="0.2">
      <c r="A101" s="32"/>
      <c r="B101" s="32"/>
      <c r="C101" s="32"/>
      <c r="D101" s="32"/>
      <c r="E101" s="32"/>
      <c r="F101" s="32"/>
      <c r="G101" s="32"/>
      <c r="H101" s="32"/>
      <c r="I101" s="32"/>
    </row>
    <row r="102" spans="1:9" hidden="1" x14ac:dyDescent="0.2">
      <c r="A102" s="32"/>
      <c r="B102" s="32"/>
      <c r="C102" s="32"/>
      <c r="D102" s="32"/>
      <c r="E102" s="32"/>
      <c r="F102" s="32"/>
      <c r="G102" s="32"/>
      <c r="H102" s="32"/>
      <c r="I102" s="32"/>
    </row>
    <row r="103" spans="1:9" hidden="1" x14ac:dyDescent="0.2">
      <c r="A103" s="32"/>
      <c r="B103" s="32"/>
      <c r="C103" s="32"/>
      <c r="D103" s="32"/>
      <c r="E103" s="32"/>
      <c r="F103" s="32"/>
      <c r="G103" s="32"/>
      <c r="H103" s="32"/>
      <c r="I103" s="32"/>
    </row>
    <row r="104" spans="1:9" hidden="1" x14ac:dyDescent="0.2">
      <c r="A104" s="32"/>
      <c r="B104" s="32"/>
      <c r="C104" s="32"/>
      <c r="D104" s="32"/>
      <c r="E104" s="32"/>
      <c r="F104" s="32"/>
      <c r="G104" s="32"/>
      <c r="H104" s="32"/>
      <c r="I104" s="32"/>
    </row>
    <row r="105" spans="1:9" hidden="1" x14ac:dyDescent="0.2">
      <c r="A105" s="32"/>
      <c r="B105" s="32"/>
      <c r="C105" s="32"/>
      <c r="D105" s="32"/>
      <c r="E105" s="32"/>
      <c r="F105" s="32"/>
      <c r="G105" s="32"/>
      <c r="H105" s="32"/>
      <c r="I105" s="32"/>
    </row>
    <row r="106" spans="1:9" hidden="1" x14ac:dyDescent="0.2">
      <c r="A106" s="32"/>
      <c r="B106" s="32"/>
      <c r="C106" s="32"/>
      <c r="D106" s="32"/>
      <c r="E106" s="32"/>
      <c r="F106" s="32"/>
      <c r="G106" s="32"/>
      <c r="H106" s="32"/>
      <c r="I106" s="32"/>
    </row>
    <row r="107" spans="1:9" hidden="1" x14ac:dyDescent="0.2">
      <c r="A107" s="32"/>
      <c r="B107" s="32"/>
      <c r="C107" s="32"/>
      <c r="D107" s="32"/>
      <c r="E107" s="32"/>
      <c r="F107" s="32"/>
      <c r="G107" s="32"/>
      <c r="H107" s="32"/>
      <c r="I107" s="32"/>
    </row>
    <row r="108" spans="1:9" hidden="1" x14ac:dyDescent="0.2">
      <c r="A108" s="32"/>
      <c r="B108" s="32"/>
      <c r="C108" s="32"/>
      <c r="D108" s="32"/>
      <c r="E108" s="32"/>
      <c r="F108" s="32"/>
      <c r="G108" s="32"/>
      <c r="H108" s="32"/>
      <c r="I108" s="32"/>
    </row>
    <row r="109" spans="1:9" hidden="1" x14ac:dyDescent="0.2">
      <c r="A109" s="32"/>
      <c r="B109" s="32"/>
      <c r="C109" s="32"/>
      <c r="D109" s="32"/>
      <c r="E109" s="32"/>
      <c r="F109" s="32"/>
      <c r="G109" s="32"/>
      <c r="H109" s="32"/>
      <c r="I109" s="32"/>
    </row>
    <row r="110" spans="1:9" hidden="1" x14ac:dyDescent="0.2">
      <c r="A110" s="32"/>
      <c r="B110" s="32"/>
      <c r="C110" s="32"/>
      <c r="D110" s="32"/>
      <c r="E110" s="32"/>
      <c r="F110" s="32"/>
      <c r="G110" s="32"/>
      <c r="H110" s="32"/>
      <c r="I110" s="32"/>
    </row>
    <row r="111" spans="1:9" hidden="1" x14ac:dyDescent="0.2">
      <c r="A111" s="32"/>
      <c r="B111" s="32"/>
      <c r="C111" s="32"/>
      <c r="D111" s="32"/>
      <c r="E111" s="32"/>
      <c r="F111" s="32"/>
      <c r="G111" s="32"/>
      <c r="H111" s="32"/>
      <c r="I111" s="32"/>
    </row>
    <row r="112" spans="1:9" hidden="1" x14ac:dyDescent="0.2">
      <c r="A112" s="32"/>
      <c r="B112" s="32"/>
      <c r="C112" s="32"/>
      <c r="D112" s="32"/>
      <c r="E112" s="32"/>
      <c r="F112" s="32"/>
      <c r="G112" s="32"/>
      <c r="H112" s="32"/>
      <c r="I112" s="32"/>
    </row>
    <row r="113" spans="1:9" hidden="1" x14ac:dyDescent="0.2">
      <c r="A113" s="32"/>
      <c r="B113" s="32"/>
      <c r="C113" s="32"/>
      <c r="D113" s="32"/>
      <c r="E113" s="32"/>
      <c r="F113" s="32"/>
      <c r="G113" s="32"/>
      <c r="H113" s="32"/>
      <c r="I113" s="32"/>
    </row>
    <row r="114" spans="1:9" hidden="1" x14ac:dyDescent="0.2">
      <c r="A114" s="32"/>
      <c r="B114" s="32"/>
      <c r="C114" s="32"/>
      <c r="D114" s="32"/>
      <c r="E114" s="32"/>
      <c r="F114" s="32"/>
      <c r="G114" s="32"/>
      <c r="H114" s="32"/>
      <c r="I114" s="32"/>
    </row>
    <row r="115" spans="1:9" hidden="1" x14ac:dyDescent="0.2">
      <c r="A115" s="32"/>
      <c r="B115" s="32"/>
      <c r="C115" s="32"/>
      <c r="D115" s="32"/>
      <c r="E115" s="32"/>
      <c r="F115" s="32"/>
      <c r="G115" s="32"/>
      <c r="H115" s="32"/>
      <c r="I115" s="32"/>
    </row>
    <row r="116" spans="1:9" hidden="1" x14ac:dyDescent="0.2">
      <c r="A116" s="32"/>
      <c r="B116" s="32"/>
      <c r="C116" s="32"/>
      <c r="D116" s="32"/>
      <c r="E116" s="32"/>
      <c r="F116" s="32"/>
      <c r="G116" s="32"/>
      <c r="H116" s="32"/>
      <c r="I116" s="32"/>
    </row>
    <row r="117" spans="1:9" hidden="1" x14ac:dyDescent="0.2">
      <c r="A117" s="32"/>
      <c r="B117" s="32"/>
      <c r="C117" s="32"/>
      <c r="D117" s="32"/>
      <c r="E117" s="32"/>
      <c r="F117" s="32"/>
      <c r="G117" s="32"/>
      <c r="H117" s="32"/>
      <c r="I117" s="32"/>
    </row>
    <row r="118" spans="1:9" hidden="1" x14ac:dyDescent="0.2">
      <c r="A118" s="32"/>
      <c r="B118" s="32"/>
      <c r="C118" s="32"/>
      <c r="D118" s="32"/>
      <c r="E118" s="32"/>
      <c r="F118" s="32"/>
      <c r="G118" s="32"/>
      <c r="H118" s="32"/>
      <c r="I118" s="32"/>
    </row>
    <row r="119" spans="1:9" hidden="1" x14ac:dyDescent="0.2">
      <c r="A119" s="32"/>
      <c r="B119" s="32"/>
      <c r="C119" s="32"/>
      <c r="D119" s="32"/>
      <c r="E119" s="32"/>
      <c r="F119" s="32"/>
      <c r="G119" s="32"/>
      <c r="H119" s="32"/>
      <c r="I119" s="32"/>
    </row>
    <row r="120" spans="1:9" hidden="1" x14ac:dyDescent="0.2">
      <c r="A120" s="32"/>
      <c r="B120" s="32"/>
      <c r="C120" s="32"/>
      <c r="D120" s="32"/>
      <c r="E120" s="32"/>
      <c r="F120" s="32"/>
      <c r="G120" s="32"/>
      <c r="H120" s="32"/>
      <c r="I120" s="32"/>
    </row>
    <row r="121" spans="1:9" hidden="1" x14ac:dyDescent="0.2">
      <c r="A121" s="32"/>
      <c r="B121" s="32"/>
      <c r="C121" s="32"/>
      <c r="D121" s="32"/>
      <c r="E121" s="32"/>
      <c r="F121" s="32"/>
      <c r="G121" s="32"/>
      <c r="H121" s="32"/>
      <c r="I121" s="32"/>
    </row>
    <row r="122" spans="1:9" hidden="1" x14ac:dyDescent="0.2">
      <c r="A122" s="32"/>
      <c r="B122" s="32"/>
      <c r="C122" s="32"/>
      <c r="D122" s="32"/>
      <c r="E122" s="32"/>
      <c r="F122" s="32"/>
      <c r="G122" s="32"/>
      <c r="H122" s="32"/>
      <c r="I122" s="32"/>
    </row>
    <row r="123" spans="1:9" hidden="1" x14ac:dyDescent="0.2">
      <c r="A123" s="32"/>
      <c r="B123" s="32"/>
      <c r="C123" s="32"/>
      <c r="D123" s="32"/>
      <c r="E123" s="32"/>
      <c r="F123" s="32"/>
      <c r="G123" s="32"/>
      <c r="H123" s="32"/>
      <c r="I123" s="32"/>
    </row>
    <row r="124" spans="1:9" hidden="1" x14ac:dyDescent="0.2">
      <c r="A124" s="32"/>
      <c r="B124" s="32"/>
      <c r="C124" s="32"/>
      <c r="D124" s="32"/>
      <c r="E124" s="32"/>
      <c r="F124" s="32"/>
      <c r="G124" s="32"/>
      <c r="H124" s="32"/>
      <c r="I124" s="32"/>
    </row>
    <row r="125" spans="1:9" hidden="1" x14ac:dyDescent="0.2">
      <c r="A125" s="32"/>
      <c r="B125" s="32"/>
      <c r="C125" s="32"/>
      <c r="D125" s="32"/>
      <c r="E125" s="32"/>
      <c r="F125" s="32"/>
      <c r="G125" s="32"/>
      <c r="H125" s="32"/>
      <c r="I125" s="32"/>
    </row>
    <row r="126" spans="1:9" hidden="1" x14ac:dyDescent="0.2">
      <c r="A126" s="32"/>
      <c r="B126" s="32"/>
      <c r="C126" s="32"/>
      <c r="D126" s="32"/>
      <c r="E126" s="32"/>
      <c r="F126" s="32"/>
      <c r="G126" s="32"/>
      <c r="H126" s="32"/>
      <c r="I126" s="32"/>
    </row>
    <row r="127" spans="1:9" hidden="1" x14ac:dyDescent="0.2">
      <c r="A127" s="32"/>
      <c r="B127" s="32"/>
      <c r="C127" s="32"/>
      <c r="D127" s="32"/>
      <c r="E127" s="32"/>
      <c r="F127" s="32"/>
      <c r="G127" s="32"/>
      <c r="H127" s="32"/>
      <c r="I127" s="32"/>
    </row>
    <row r="128" spans="1:9" hidden="1" x14ac:dyDescent="0.2">
      <c r="A128" s="32"/>
      <c r="B128" s="32"/>
      <c r="C128" s="32"/>
      <c r="D128" s="32"/>
      <c r="E128" s="32"/>
      <c r="F128" s="32"/>
      <c r="G128" s="32"/>
      <c r="H128" s="32"/>
      <c r="I128" s="32"/>
    </row>
    <row r="129" spans="1:9" hidden="1" x14ac:dyDescent="0.2">
      <c r="A129" s="32"/>
      <c r="B129" s="32"/>
      <c r="C129" s="32"/>
      <c r="D129" s="32"/>
      <c r="E129" s="32"/>
      <c r="F129" s="32"/>
      <c r="G129" s="32"/>
      <c r="H129" s="32"/>
      <c r="I129" s="32"/>
    </row>
    <row r="130" spans="1:9" hidden="1" x14ac:dyDescent="0.2">
      <c r="A130" s="32"/>
      <c r="B130" s="32"/>
      <c r="C130" s="32"/>
      <c r="D130" s="32"/>
      <c r="E130" s="32"/>
      <c r="F130" s="32"/>
      <c r="G130" s="32"/>
      <c r="H130" s="32"/>
      <c r="I130" s="32"/>
    </row>
    <row r="131" spans="1:9" hidden="1" x14ac:dyDescent="0.2">
      <c r="A131" s="32"/>
      <c r="B131" s="32"/>
      <c r="C131" s="32"/>
      <c r="D131" s="32"/>
      <c r="E131" s="32"/>
      <c r="F131" s="32"/>
      <c r="G131" s="32"/>
      <c r="H131" s="32"/>
      <c r="I131" s="32"/>
    </row>
    <row r="132" spans="1:9" hidden="1" x14ac:dyDescent="0.2">
      <c r="A132" s="32"/>
      <c r="B132" s="32"/>
      <c r="C132" s="32"/>
      <c r="D132" s="32"/>
      <c r="E132" s="32"/>
      <c r="F132" s="32"/>
      <c r="G132" s="32"/>
      <c r="H132" s="32"/>
      <c r="I132" s="32"/>
    </row>
    <row r="133" spans="1:9" hidden="1" x14ac:dyDescent="0.2">
      <c r="A133" s="32"/>
      <c r="B133" s="32"/>
      <c r="C133" s="32"/>
      <c r="D133" s="32"/>
      <c r="E133" s="32"/>
      <c r="F133" s="32"/>
      <c r="G133" s="32"/>
      <c r="H133" s="32"/>
      <c r="I133" s="32"/>
    </row>
    <row r="134" spans="1:9" hidden="1" x14ac:dyDescent="0.2">
      <c r="A134" s="32"/>
      <c r="B134" s="32"/>
      <c r="C134" s="32"/>
      <c r="D134" s="32"/>
      <c r="E134" s="32"/>
      <c r="F134" s="32"/>
      <c r="G134" s="32"/>
      <c r="H134" s="32"/>
      <c r="I134" s="32"/>
    </row>
    <row r="135" spans="1:9" hidden="1" x14ac:dyDescent="0.2">
      <c r="A135" s="32"/>
      <c r="B135" s="32"/>
      <c r="C135" s="32"/>
      <c r="D135" s="32"/>
      <c r="E135" s="32"/>
      <c r="F135" s="32"/>
      <c r="G135" s="32"/>
      <c r="H135" s="32"/>
      <c r="I135" s="32"/>
    </row>
    <row r="136" spans="1:9" hidden="1" x14ac:dyDescent="0.2">
      <c r="A136" s="32"/>
      <c r="B136" s="32"/>
      <c r="C136" s="32"/>
      <c r="D136" s="32"/>
      <c r="E136" s="32"/>
      <c r="F136" s="32"/>
      <c r="G136" s="32"/>
      <c r="H136" s="32"/>
      <c r="I136" s="32"/>
    </row>
    <row r="137" spans="1:9" hidden="1" x14ac:dyDescent="0.2">
      <c r="A137" s="32"/>
      <c r="B137" s="32"/>
      <c r="C137" s="32"/>
      <c r="D137" s="32"/>
      <c r="E137" s="32"/>
      <c r="F137" s="32"/>
      <c r="G137" s="32"/>
      <c r="H137" s="32"/>
      <c r="I137" s="32"/>
    </row>
    <row r="138" spans="1:9" hidden="1" x14ac:dyDescent="0.2">
      <c r="A138" s="32"/>
      <c r="B138" s="32"/>
      <c r="C138" s="32"/>
      <c r="D138" s="32"/>
      <c r="E138" s="32"/>
      <c r="F138" s="32"/>
      <c r="G138" s="32"/>
      <c r="H138" s="32"/>
      <c r="I138" s="32"/>
    </row>
    <row r="139" spans="1:9" hidden="1" x14ac:dyDescent="0.2">
      <c r="A139" s="32"/>
      <c r="B139" s="32"/>
      <c r="C139" s="32"/>
      <c r="D139" s="32"/>
      <c r="E139" s="32"/>
      <c r="F139" s="32"/>
      <c r="G139" s="32"/>
      <c r="H139" s="32"/>
      <c r="I139" s="32"/>
    </row>
    <row r="140" spans="1:9" hidden="1" x14ac:dyDescent="0.2">
      <c r="A140" s="32"/>
      <c r="B140" s="32"/>
      <c r="C140" s="32"/>
      <c r="D140" s="32"/>
      <c r="E140" s="32"/>
      <c r="F140" s="32"/>
      <c r="G140" s="32"/>
      <c r="H140" s="32"/>
      <c r="I140" s="32"/>
    </row>
    <row r="141" spans="1:9" hidden="1" x14ac:dyDescent="0.2">
      <c r="A141" s="32"/>
      <c r="B141" s="32"/>
      <c r="C141" s="32"/>
      <c r="D141" s="32"/>
      <c r="E141" s="32"/>
      <c r="F141" s="32"/>
      <c r="G141" s="32"/>
      <c r="H141" s="32"/>
      <c r="I141" s="32"/>
    </row>
    <row r="142" spans="1:9" hidden="1" x14ac:dyDescent="0.2">
      <c r="A142" s="32"/>
      <c r="B142" s="32"/>
      <c r="C142" s="32"/>
      <c r="D142" s="32"/>
      <c r="E142" s="32"/>
      <c r="F142" s="32"/>
      <c r="G142" s="32"/>
      <c r="H142" s="32"/>
      <c r="I142" s="32"/>
    </row>
    <row r="143" spans="1:9" hidden="1" x14ac:dyDescent="0.2">
      <c r="A143" s="32"/>
      <c r="B143" s="32"/>
      <c r="C143" s="32"/>
      <c r="D143" s="32"/>
      <c r="E143" s="32"/>
      <c r="F143" s="32"/>
      <c r="G143" s="32"/>
      <c r="H143" s="32"/>
      <c r="I143" s="32"/>
    </row>
    <row r="144" spans="1:9" hidden="1" x14ac:dyDescent="0.2">
      <c r="A144" s="32"/>
      <c r="B144" s="32"/>
      <c r="C144" s="32"/>
      <c r="D144" s="32"/>
      <c r="E144" s="32"/>
      <c r="F144" s="32"/>
      <c r="G144" s="32"/>
      <c r="H144" s="32"/>
      <c r="I144" s="32"/>
    </row>
    <row r="145" spans="1:9" hidden="1" x14ac:dyDescent="0.2">
      <c r="A145" s="32"/>
      <c r="B145" s="32"/>
      <c r="C145" s="32"/>
      <c r="D145" s="32"/>
      <c r="E145" s="32"/>
      <c r="F145" s="32"/>
      <c r="G145" s="32"/>
      <c r="H145" s="32"/>
      <c r="I145" s="32"/>
    </row>
    <row r="146" spans="1:9" hidden="1" x14ac:dyDescent="0.2">
      <c r="A146" s="32"/>
      <c r="B146" s="32"/>
      <c r="C146" s="32"/>
      <c r="D146" s="32"/>
      <c r="E146" s="32"/>
      <c r="F146" s="32"/>
      <c r="G146" s="32"/>
      <c r="H146" s="32"/>
      <c r="I146" s="32"/>
    </row>
    <row r="147" spans="1:9" hidden="1" x14ac:dyDescent="0.2">
      <c r="A147" s="32"/>
      <c r="B147" s="32"/>
      <c r="C147" s="32"/>
      <c r="D147" s="32"/>
      <c r="E147" s="32"/>
      <c r="F147" s="32"/>
      <c r="G147" s="32"/>
      <c r="H147" s="32"/>
      <c r="I147" s="32"/>
    </row>
    <row r="148" spans="1:9" hidden="1" x14ac:dyDescent="0.2">
      <c r="A148" s="32"/>
      <c r="B148" s="32"/>
      <c r="C148" s="32"/>
      <c r="D148" s="32"/>
      <c r="E148" s="32"/>
      <c r="F148" s="32"/>
      <c r="G148" s="32"/>
      <c r="H148" s="32"/>
      <c r="I148" s="32"/>
    </row>
    <row r="149" spans="1:9" hidden="1" x14ac:dyDescent="0.2">
      <c r="A149" s="32"/>
      <c r="B149" s="32"/>
      <c r="C149" s="32"/>
      <c r="D149" s="32"/>
      <c r="E149" s="32"/>
      <c r="F149" s="32"/>
      <c r="G149" s="32"/>
      <c r="H149" s="32"/>
      <c r="I149" s="32"/>
    </row>
    <row r="150" spans="1:9" hidden="1" x14ac:dyDescent="0.2">
      <c r="A150" s="32"/>
      <c r="B150" s="32"/>
      <c r="C150" s="32"/>
      <c r="D150" s="32"/>
      <c r="E150" s="32"/>
      <c r="F150" s="32"/>
      <c r="G150" s="32"/>
      <c r="H150" s="32"/>
      <c r="I150" s="32"/>
    </row>
    <row r="151" spans="1:9" hidden="1" x14ac:dyDescent="0.2">
      <c r="A151" s="32"/>
      <c r="B151" s="32"/>
      <c r="C151" s="32"/>
      <c r="D151" s="32"/>
      <c r="E151" s="32"/>
      <c r="F151" s="32"/>
      <c r="G151" s="32"/>
      <c r="H151" s="32"/>
      <c r="I151" s="32"/>
    </row>
    <row r="152" spans="1:9" hidden="1" x14ac:dyDescent="0.2">
      <c r="A152" s="32"/>
      <c r="B152" s="32"/>
      <c r="C152" s="32"/>
      <c r="D152" s="32"/>
      <c r="E152" s="32"/>
      <c r="F152" s="32"/>
      <c r="G152" s="32"/>
      <c r="H152" s="32"/>
      <c r="I152" s="32"/>
    </row>
    <row r="153" spans="1:9" hidden="1" x14ac:dyDescent="0.2">
      <c r="A153" s="32"/>
      <c r="B153" s="32"/>
      <c r="C153" s="32"/>
      <c r="D153" s="32"/>
      <c r="E153" s="32"/>
      <c r="F153" s="32"/>
      <c r="G153" s="32"/>
      <c r="H153" s="32"/>
      <c r="I153" s="32"/>
    </row>
    <row r="154" spans="1:9" hidden="1" x14ac:dyDescent="0.2">
      <c r="A154" s="32"/>
      <c r="B154" s="32"/>
      <c r="C154" s="32"/>
      <c r="D154" s="32"/>
      <c r="E154" s="32"/>
      <c r="F154" s="32"/>
      <c r="G154" s="32"/>
      <c r="H154" s="32"/>
      <c r="I154" s="32"/>
    </row>
    <row r="155" spans="1:9" hidden="1" x14ac:dyDescent="0.2">
      <c r="A155" s="32"/>
      <c r="B155" s="32"/>
      <c r="C155" s="32"/>
      <c r="D155" s="32"/>
      <c r="E155" s="32"/>
      <c r="F155" s="32"/>
      <c r="G155" s="32"/>
      <c r="H155" s="32"/>
      <c r="I155" s="32"/>
    </row>
    <row r="156" spans="1:9" hidden="1" x14ac:dyDescent="0.2">
      <c r="A156" s="32"/>
      <c r="B156" s="32"/>
      <c r="C156" s="32"/>
      <c r="D156" s="32"/>
      <c r="E156" s="32"/>
      <c r="F156" s="32"/>
      <c r="G156" s="32"/>
      <c r="H156" s="32"/>
      <c r="I156" s="32"/>
    </row>
    <row r="157" spans="1:9" hidden="1" x14ac:dyDescent="0.2">
      <c r="A157" s="32"/>
      <c r="B157" s="32"/>
      <c r="C157" s="32"/>
      <c r="D157" s="32"/>
      <c r="E157" s="32"/>
      <c r="F157" s="32"/>
      <c r="G157" s="32"/>
      <c r="H157" s="32"/>
      <c r="I157" s="32"/>
    </row>
    <row r="158" spans="1:9" hidden="1" x14ac:dyDescent="0.2">
      <c r="A158" s="32"/>
      <c r="B158" s="32"/>
      <c r="C158" s="32"/>
      <c r="D158" s="32"/>
      <c r="E158" s="32"/>
      <c r="F158" s="32"/>
      <c r="G158" s="32"/>
      <c r="H158" s="32"/>
      <c r="I158" s="32"/>
    </row>
    <row r="159" spans="1:9" hidden="1" x14ac:dyDescent="0.2">
      <c r="A159" s="32"/>
      <c r="B159" s="32"/>
      <c r="C159" s="32"/>
      <c r="D159" s="32"/>
      <c r="E159" s="32"/>
      <c r="F159" s="32"/>
      <c r="G159" s="32"/>
      <c r="H159" s="32"/>
      <c r="I159" s="32"/>
    </row>
    <row r="160" spans="1:9" hidden="1" x14ac:dyDescent="0.2">
      <c r="A160" s="32"/>
      <c r="B160" s="32"/>
      <c r="C160" s="32"/>
      <c r="D160" s="32"/>
      <c r="E160" s="32"/>
      <c r="F160" s="32"/>
      <c r="G160" s="32"/>
      <c r="H160" s="32"/>
      <c r="I160" s="32"/>
    </row>
    <row r="161" spans="1:9" hidden="1" x14ac:dyDescent="0.2">
      <c r="A161" s="32"/>
      <c r="B161" s="32"/>
      <c r="C161" s="32"/>
      <c r="D161" s="32"/>
      <c r="E161" s="32"/>
      <c r="F161" s="32"/>
      <c r="G161" s="32"/>
      <c r="H161" s="32"/>
      <c r="I161" s="32"/>
    </row>
    <row r="162" spans="1:9" hidden="1" x14ac:dyDescent="0.2">
      <c r="A162" s="32"/>
      <c r="B162" s="32"/>
      <c r="C162" s="32"/>
      <c r="D162" s="32"/>
      <c r="E162" s="32"/>
      <c r="F162" s="32"/>
      <c r="G162" s="32"/>
      <c r="H162" s="32"/>
      <c r="I162" s="32"/>
    </row>
    <row r="163" spans="1:9" hidden="1" x14ac:dyDescent="0.2">
      <c r="A163" s="32"/>
      <c r="B163" s="32"/>
      <c r="C163" s="32"/>
      <c r="D163" s="32"/>
      <c r="E163" s="32"/>
      <c r="F163" s="32"/>
      <c r="G163" s="32"/>
      <c r="H163" s="32"/>
      <c r="I163" s="32"/>
    </row>
    <row r="164" spans="1:9" hidden="1" x14ac:dyDescent="0.2">
      <c r="A164" s="32"/>
      <c r="B164" s="32"/>
      <c r="C164" s="32"/>
      <c r="D164" s="32"/>
      <c r="E164" s="32"/>
      <c r="F164" s="32"/>
      <c r="G164" s="32"/>
      <c r="H164" s="32"/>
      <c r="I164" s="32"/>
    </row>
    <row r="165" spans="1:9" hidden="1" x14ac:dyDescent="0.2">
      <c r="A165" s="32"/>
      <c r="B165" s="32"/>
      <c r="C165" s="32"/>
      <c r="D165" s="32"/>
      <c r="E165" s="32"/>
      <c r="F165" s="32"/>
      <c r="G165" s="32"/>
      <c r="H165" s="32"/>
      <c r="I165" s="32"/>
    </row>
    <row r="166" spans="1:9" hidden="1" x14ac:dyDescent="0.2">
      <c r="A166" s="32"/>
      <c r="B166" s="32"/>
      <c r="C166" s="32"/>
      <c r="D166" s="32"/>
      <c r="E166" s="32"/>
      <c r="F166" s="32"/>
      <c r="G166" s="32"/>
      <c r="H166" s="32"/>
      <c r="I166" s="32"/>
    </row>
    <row r="167" spans="1:9" hidden="1" x14ac:dyDescent="0.2">
      <c r="A167" s="32"/>
      <c r="B167" s="32"/>
      <c r="C167" s="32"/>
      <c r="D167" s="32"/>
      <c r="E167" s="32"/>
      <c r="F167" s="32"/>
      <c r="G167" s="32"/>
      <c r="H167" s="32"/>
      <c r="I167" s="32"/>
    </row>
    <row r="168" spans="1:9" hidden="1" x14ac:dyDescent="0.2">
      <c r="A168" s="32"/>
      <c r="B168" s="32"/>
      <c r="C168" s="32"/>
      <c r="D168" s="32"/>
      <c r="E168" s="32"/>
      <c r="F168" s="32"/>
      <c r="G168" s="32"/>
      <c r="H168" s="32"/>
      <c r="I168" s="32"/>
    </row>
    <row r="169" spans="1:9" hidden="1" x14ac:dyDescent="0.2">
      <c r="A169" s="32"/>
      <c r="B169" s="32"/>
      <c r="C169" s="32"/>
      <c r="D169" s="32"/>
      <c r="E169" s="32"/>
      <c r="F169" s="32"/>
      <c r="G169" s="32"/>
      <c r="H169" s="32"/>
      <c r="I169" s="32"/>
    </row>
    <row r="170" spans="1:9" hidden="1" x14ac:dyDescent="0.2">
      <c r="A170" s="32"/>
      <c r="B170" s="32"/>
      <c r="C170" s="32"/>
      <c r="D170" s="32"/>
      <c r="E170" s="32"/>
      <c r="F170" s="32"/>
      <c r="G170" s="32"/>
      <c r="H170" s="32"/>
      <c r="I170" s="32"/>
    </row>
    <row r="171" spans="1:9" hidden="1" x14ac:dyDescent="0.2">
      <c r="A171" s="32"/>
      <c r="B171" s="32"/>
      <c r="C171" s="32"/>
      <c r="D171" s="32"/>
      <c r="E171" s="32"/>
      <c r="F171" s="32"/>
      <c r="G171" s="32"/>
      <c r="H171" s="32"/>
      <c r="I171" s="32"/>
    </row>
    <row r="172" spans="1:9" hidden="1" x14ac:dyDescent="0.2">
      <c r="A172" s="32"/>
      <c r="B172" s="32"/>
      <c r="C172" s="32"/>
      <c r="D172" s="32"/>
      <c r="E172" s="32"/>
      <c r="F172" s="32"/>
      <c r="G172" s="32"/>
      <c r="H172" s="32"/>
      <c r="I172" s="32"/>
    </row>
    <row r="173" spans="1:9" hidden="1" x14ac:dyDescent="0.2">
      <c r="A173" s="32"/>
      <c r="B173" s="32"/>
      <c r="C173" s="32"/>
      <c r="D173" s="32"/>
      <c r="E173" s="32"/>
      <c r="F173" s="32"/>
      <c r="G173" s="32"/>
      <c r="H173" s="32"/>
      <c r="I173" s="32"/>
    </row>
    <row r="174" spans="1:9" hidden="1" x14ac:dyDescent="0.2">
      <c r="A174" s="32"/>
      <c r="B174" s="32"/>
      <c r="C174" s="32"/>
      <c r="D174" s="32"/>
      <c r="E174" s="32"/>
      <c r="F174" s="32"/>
      <c r="G174" s="32"/>
      <c r="H174" s="32"/>
      <c r="I174" s="32"/>
    </row>
    <row r="175" spans="1:9" hidden="1" x14ac:dyDescent="0.2">
      <c r="A175" s="32"/>
      <c r="B175" s="32"/>
      <c r="C175" s="32"/>
      <c r="D175" s="32"/>
      <c r="E175" s="32"/>
      <c r="F175" s="32"/>
      <c r="G175" s="32"/>
      <c r="H175" s="32"/>
      <c r="I175" s="32"/>
    </row>
    <row r="176" spans="1:9" hidden="1" x14ac:dyDescent="0.2">
      <c r="A176" s="32"/>
      <c r="B176" s="32"/>
      <c r="C176" s="32"/>
      <c r="D176" s="32"/>
      <c r="E176" s="32"/>
      <c r="F176" s="32"/>
      <c r="G176" s="32"/>
      <c r="H176" s="32"/>
      <c r="I176" s="32"/>
    </row>
    <row r="177" spans="1:9" hidden="1" x14ac:dyDescent="0.2">
      <c r="A177" s="32"/>
      <c r="B177" s="32"/>
      <c r="C177" s="32"/>
      <c r="D177" s="32"/>
      <c r="E177" s="32"/>
      <c r="F177" s="32"/>
      <c r="G177" s="32"/>
      <c r="H177" s="32"/>
      <c r="I177" s="32"/>
    </row>
    <row r="178" spans="1:9" hidden="1" x14ac:dyDescent="0.2">
      <c r="A178" s="32"/>
      <c r="B178" s="32"/>
      <c r="C178" s="32"/>
      <c r="D178" s="32"/>
      <c r="E178" s="32"/>
      <c r="F178" s="32"/>
      <c r="G178" s="32"/>
      <c r="H178" s="32"/>
      <c r="I178" s="32"/>
    </row>
    <row r="179" spans="1:9" hidden="1" x14ac:dyDescent="0.2">
      <c r="A179" s="32"/>
      <c r="B179" s="32"/>
      <c r="C179" s="32"/>
      <c r="D179" s="32"/>
      <c r="E179" s="32"/>
      <c r="F179" s="32"/>
      <c r="G179" s="32"/>
      <c r="H179" s="32"/>
      <c r="I179" s="32"/>
    </row>
    <row r="180" spans="1:9" hidden="1" x14ac:dyDescent="0.2">
      <c r="A180" s="32"/>
      <c r="B180" s="32"/>
      <c r="C180" s="32"/>
      <c r="D180" s="32"/>
      <c r="E180" s="32"/>
      <c r="F180" s="32"/>
      <c r="G180" s="32"/>
      <c r="H180" s="32"/>
      <c r="I180" s="32"/>
    </row>
    <row r="181" spans="1:9" hidden="1" x14ac:dyDescent="0.2">
      <c r="A181" s="32"/>
      <c r="B181" s="32"/>
      <c r="C181" s="32"/>
      <c r="D181" s="32"/>
      <c r="E181" s="32"/>
      <c r="F181" s="32"/>
      <c r="G181" s="32"/>
      <c r="H181" s="32"/>
      <c r="I181" s="32"/>
    </row>
    <row r="182" spans="1:9" hidden="1" x14ac:dyDescent="0.2">
      <c r="A182" s="32"/>
      <c r="B182" s="32"/>
      <c r="C182" s="32"/>
      <c r="D182" s="32"/>
      <c r="E182" s="32"/>
      <c r="F182" s="32"/>
      <c r="G182" s="32"/>
      <c r="H182" s="32"/>
      <c r="I182" s="32"/>
    </row>
    <row r="183" spans="1:9" hidden="1" x14ac:dyDescent="0.2">
      <c r="A183" s="32"/>
      <c r="B183" s="32"/>
      <c r="C183" s="32"/>
      <c r="D183" s="32"/>
      <c r="E183" s="32"/>
      <c r="F183" s="32"/>
      <c r="G183" s="32"/>
      <c r="H183" s="32"/>
      <c r="I183" s="32"/>
    </row>
    <row r="184" spans="1:9" hidden="1" x14ac:dyDescent="0.2">
      <c r="A184" s="32"/>
      <c r="B184" s="32"/>
      <c r="C184" s="32"/>
      <c r="D184" s="32"/>
      <c r="E184" s="32"/>
      <c r="F184" s="32"/>
      <c r="G184" s="32"/>
      <c r="H184" s="32"/>
      <c r="I184" s="32"/>
    </row>
    <row r="185" spans="1:9" hidden="1" x14ac:dyDescent="0.2">
      <c r="A185" s="32"/>
      <c r="B185" s="32"/>
      <c r="C185" s="32"/>
      <c r="D185" s="32"/>
      <c r="E185" s="32"/>
      <c r="F185" s="32"/>
      <c r="G185" s="32"/>
      <c r="H185" s="32"/>
      <c r="I185" s="32"/>
    </row>
    <row r="186" spans="1:9" hidden="1" x14ac:dyDescent="0.2">
      <c r="A186" s="32"/>
      <c r="B186" s="32"/>
      <c r="C186" s="32"/>
      <c r="D186" s="32"/>
      <c r="E186" s="32"/>
      <c r="F186" s="32"/>
      <c r="G186" s="32"/>
      <c r="H186" s="32"/>
      <c r="I186" s="32"/>
    </row>
    <row r="187" spans="1:9" hidden="1" x14ac:dyDescent="0.2">
      <c r="A187" s="32"/>
      <c r="B187" s="32"/>
      <c r="C187" s="32"/>
      <c r="D187" s="32"/>
      <c r="E187" s="32"/>
      <c r="F187" s="32"/>
      <c r="G187" s="32"/>
      <c r="H187" s="32"/>
      <c r="I187" s="32"/>
    </row>
    <row r="188" spans="1:9" hidden="1" x14ac:dyDescent="0.2">
      <c r="A188" s="32"/>
      <c r="B188" s="32"/>
      <c r="C188" s="32"/>
      <c r="D188" s="32"/>
      <c r="E188" s="32"/>
      <c r="F188" s="32"/>
      <c r="G188" s="32"/>
      <c r="H188" s="32"/>
      <c r="I188" s="32"/>
    </row>
    <row r="189" spans="1:9" hidden="1" x14ac:dyDescent="0.2">
      <c r="A189" s="32"/>
      <c r="B189" s="32"/>
      <c r="C189" s="32"/>
      <c r="D189" s="32"/>
      <c r="E189" s="32"/>
      <c r="F189" s="32"/>
      <c r="G189" s="32"/>
      <c r="H189" s="32"/>
      <c r="I189" s="32"/>
    </row>
    <row r="190" spans="1:9" hidden="1" x14ac:dyDescent="0.2">
      <c r="A190" s="32"/>
      <c r="B190" s="32"/>
      <c r="C190" s="32"/>
      <c r="D190" s="32"/>
      <c r="E190" s="32"/>
      <c r="F190" s="32"/>
      <c r="G190" s="32"/>
      <c r="H190" s="32"/>
      <c r="I190" s="32"/>
    </row>
    <row r="191" spans="1:9" hidden="1" x14ac:dyDescent="0.2">
      <c r="A191" s="32"/>
      <c r="B191" s="32"/>
      <c r="C191" s="32"/>
      <c r="D191" s="32"/>
      <c r="E191" s="32"/>
      <c r="F191" s="32"/>
      <c r="G191" s="32"/>
      <c r="H191" s="32"/>
      <c r="I191" s="32"/>
    </row>
    <row r="192" spans="1:9" hidden="1" x14ac:dyDescent="0.2">
      <c r="A192" s="32"/>
      <c r="B192" s="32"/>
      <c r="C192" s="32"/>
      <c r="D192" s="32"/>
      <c r="E192" s="32"/>
      <c r="F192" s="32"/>
      <c r="G192" s="32"/>
      <c r="H192" s="32"/>
      <c r="I192" s="32"/>
    </row>
    <row r="193" spans="1:9" hidden="1" x14ac:dyDescent="0.2">
      <c r="A193" s="32"/>
      <c r="B193" s="32"/>
      <c r="C193" s="32"/>
      <c r="D193" s="32"/>
      <c r="E193" s="32"/>
      <c r="F193" s="32"/>
      <c r="G193" s="32"/>
      <c r="H193" s="32"/>
      <c r="I193" s="32"/>
    </row>
    <row r="194" spans="1:9" hidden="1" x14ac:dyDescent="0.2">
      <c r="A194" s="32"/>
      <c r="B194" s="32"/>
      <c r="C194" s="32"/>
      <c r="D194" s="32"/>
      <c r="E194" s="32"/>
      <c r="F194" s="32"/>
      <c r="G194" s="32"/>
      <c r="H194" s="32"/>
      <c r="I194" s="32"/>
    </row>
    <row r="195" spans="1:9" hidden="1" x14ac:dyDescent="0.2">
      <c r="A195" s="32"/>
      <c r="B195" s="32"/>
      <c r="C195" s="32"/>
      <c r="D195" s="32"/>
      <c r="E195" s="32"/>
      <c r="F195" s="32"/>
      <c r="G195" s="32"/>
      <c r="H195" s="32"/>
      <c r="I195" s="32"/>
    </row>
    <row r="196" spans="1:9" hidden="1" x14ac:dyDescent="0.2">
      <c r="A196" s="32"/>
      <c r="B196" s="32"/>
      <c r="C196" s="32"/>
      <c r="D196" s="32"/>
      <c r="E196" s="32"/>
      <c r="F196" s="32"/>
      <c r="G196" s="32"/>
      <c r="H196" s="32"/>
      <c r="I196" s="32"/>
    </row>
    <row r="197" spans="1:9" hidden="1" x14ac:dyDescent="0.2">
      <c r="A197" s="32"/>
      <c r="B197" s="32"/>
      <c r="C197" s="32"/>
      <c r="D197" s="32"/>
      <c r="E197" s="32"/>
      <c r="F197" s="32"/>
      <c r="G197" s="32"/>
      <c r="H197" s="32"/>
      <c r="I197" s="32"/>
    </row>
    <row r="198" spans="1:9" hidden="1" x14ac:dyDescent="0.2">
      <c r="A198" s="32"/>
      <c r="B198" s="32"/>
      <c r="C198" s="32"/>
      <c r="D198" s="32"/>
      <c r="E198" s="32"/>
      <c r="F198" s="32"/>
      <c r="G198" s="32"/>
      <c r="H198" s="32"/>
      <c r="I198" s="32"/>
    </row>
    <row r="199" spans="1:9" hidden="1" x14ac:dyDescent="0.2">
      <c r="A199" s="32"/>
      <c r="B199" s="32"/>
      <c r="C199" s="32"/>
      <c r="D199" s="32"/>
      <c r="E199" s="32"/>
      <c r="F199" s="32"/>
      <c r="G199" s="32"/>
      <c r="H199" s="32"/>
      <c r="I199" s="32"/>
    </row>
    <row r="200" spans="1:9" hidden="1" x14ac:dyDescent="0.2">
      <c r="A200" s="32"/>
      <c r="B200" s="32"/>
      <c r="C200" s="32"/>
      <c r="D200" s="32"/>
      <c r="E200" s="32"/>
      <c r="F200" s="32"/>
      <c r="G200" s="32"/>
      <c r="H200" s="32"/>
      <c r="I200" s="32"/>
    </row>
    <row r="201" spans="1:9" hidden="1" x14ac:dyDescent="0.2">
      <c r="A201" s="32"/>
      <c r="B201" s="32"/>
      <c r="C201" s="32"/>
      <c r="D201" s="32"/>
      <c r="E201" s="32"/>
      <c r="F201" s="32"/>
      <c r="G201" s="32"/>
      <c r="H201" s="32"/>
      <c r="I201" s="32"/>
    </row>
    <row r="202" spans="1:9" hidden="1" x14ac:dyDescent="0.2">
      <c r="A202" s="32"/>
      <c r="B202" s="32"/>
      <c r="C202" s="32"/>
      <c r="D202" s="32"/>
      <c r="E202" s="32"/>
      <c r="F202" s="32"/>
      <c r="G202" s="32"/>
      <c r="H202" s="32"/>
      <c r="I202" s="32"/>
    </row>
    <row r="203" spans="1:9" hidden="1" x14ac:dyDescent="0.2">
      <c r="A203" s="32"/>
      <c r="B203" s="32"/>
      <c r="C203" s="32"/>
      <c r="D203" s="32"/>
      <c r="E203" s="32"/>
      <c r="F203" s="32"/>
      <c r="G203" s="32"/>
      <c r="H203" s="32"/>
      <c r="I203" s="32"/>
    </row>
    <row r="204" spans="1:9" hidden="1" x14ac:dyDescent="0.2">
      <c r="A204" s="32"/>
      <c r="B204" s="32"/>
      <c r="C204" s="32"/>
      <c r="D204" s="32"/>
      <c r="E204" s="32"/>
      <c r="F204" s="32"/>
      <c r="G204" s="32"/>
      <c r="H204" s="32"/>
      <c r="I204" s="32"/>
    </row>
    <row r="205" spans="1:9" hidden="1" x14ac:dyDescent="0.2">
      <c r="A205" s="32"/>
      <c r="B205" s="32"/>
      <c r="C205" s="32"/>
      <c r="D205" s="32"/>
      <c r="E205" s="32"/>
      <c r="F205" s="32"/>
      <c r="G205" s="32"/>
      <c r="H205" s="32"/>
      <c r="I205" s="32"/>
    </row>
    <row r="206" spans="1:9" hidden="1" x14ac:dyDescent="0.2">
      <c r="A206" s="32"/>
      <c r="B206" s="32"/>
      <c r="C206" s="32"/>
      <c r="D206" s="32"/>
      <c r="E206" s="32"/>
      <c r="F206" s="32"/>
      <c r="G206" s="32"/>
      <c r="H206" s="32"/>
      <c r="I206" s="32"/>
    </row>
    <row r="207" spans="1:9" hidden="1" x14ac:dyDescent="0.2">
      <c r="A207" s="32"/>
      <c r="B207" s="32"/>
      <c r="C207" s="32"/>
      <c r="D207" s="32"/>
      <c r="E207" s="32"/>
      <c r="F207" s="32"/>
      <c r="G207" s="32"/>
      <c r="H207" s="32"/>
      <c r="I207" s="32"/>
    </row>
    <row r="208" spans="1:9" hidden="1" x14ac:dyDescent="0.2">
      <c r="A208" s="32"/>
      <c r="B208" s="32"/>
      <c r="C208" s="32"/>
      <c r="D208" s="32"/>
      <c r="E208" s="32"/>
      <c r="F208" s="32"/>
      <c r="G208" s="32"/>
      <c r="H208" s="32"/>
      <c r="I208" s="32"/>
    </row>
    <row r="209" spans="1:9" hidden="1" x14ac:dyDescent="0.2">
      <c r="A209" s="32"/>
      <c r="B209" s="32"/>
      <c r="C209" s="32"/>
      <c r="D209" s="32"/>
      <c r="E209" s="32"/>
      <c r="F209" s="32"/>
      <c r="G209" s="32"/>
      <c r="H209" s="32"/>
      <c r="I209" s="32"/>
    </row>
    <row r="210" spans="1:9" hidden="1" x14ac:dyDescent="0.2">
      <c r="A210" s="32"/>
      <c r="B210" s="32"/>
      <c r="C210" s="32"/>
      <c r="D210" s="32"/>
      <c r="E210" s="32"/>
      <c r="F210" s="32"/>
      <c r="G210" s="32"/>
      <c r="H210" s="32"/>
      <c r="I210" s="32"/>
    </row>
    <row r="211" spans="1:9" hidden="1" x14ac:dyDescent="0.2">
      <c r="A211" s="32"/>
      <c r="B211" s="32"/>
      <c r="C211" s="32"/>
      <c r="D211" s="32"/>
      <c r="E211" s="32"/>
      <c r="F211" s="32"/>
      <c r="G211" s="32"/>
      <c r="H211" s="32"/>
      <c r="I211" s="32"/>
    </row>
    <row r="212" spans="1:9" hidden="1" x14ac:dyDescent="0.2">
      <c r="A212" s="32"/>
      <c r="B212" s="32"/>
      <c r="C212" s="32"/>
      <c r="D212" s="32"/>
      <c r="E212" s="32"/>
      <c r="F212" s="32"/>
      <c r="G212" s="32"/>
      <c r="H212" s="32"/>
      <c r="I212" s="32"/>
    </row>
    <row r="213" spans="1:9" hidden="1" x14ac:dyDescent="0.2">
      <c r="A213" s="32"/>
      <c r="B213" s="32"/>
      <c r="C213" s="32"/>
      <c r="D213" s="32"/>
      <c r="E213" s="32"/>
      <c r="F213" s="32"/>
      <c r="G213" s="32"/>
      <c r="H213" s="32"/>
      <c r="I213" s="32"/>
    </row>
    <row r="214" spans="1:9" hidden="1" x14ac:dyDescent="0.2">
      <c r="A214" s="32"/>
      <c r="B214" s="32"/>
      <c r="C214" s="32"/>
      <c r="D214" s="32"/>
      <c r="E214" s="32"/>
      <c r="F214" s="32"/>
      <c r="G214" s="32"/>
      <c r="H214" s="32"/>
      <c r="I214" s="32"/>
    </row>
    <row r="215" spans="1:9" hidden="1" x14ac:dyDescent="0.2">
      <c r="A215" s="32"/>
      <c r="B215" s="32"/>
      <c r="C215" s="32"/>
      <c r="D215" s="32"/>
      <c r="E215" s="32"/>
      <c r="F215" s="32"/>
      <c r="G215" s="32"/>
      <c r="H215" s="32"/>
      <c r="I215" s="32"/>
    </row>
    <row r="216" spans="1:9" hidden="1" x14ac:dyDescent="0.2">
      <c r="A216" s="32"/>
      <c r="B216" s="32"/>
      <c r="C216" s="32"/>
      <c r="D216" s="32"/>
      <c r="E216" s="32"/>
      <c r="F216" s="32"/>
      <c r="G216" s="32"/>
      <c r="H216" s="32"/>
      <c r="I216" s="32"/>
    </row>
    <row r="217" spans="1:9" hidden="1" x14ac:dyDescent="0.2">
      <c r="A217" s="32"/>
      <c r="B217" s="32"/>
      <c r="C217" s="32"/>
      <c r="D217" s="32"/>
      <c r="E217" s="32"/>
      <c r="F217" s="32"/>
      <c r="G217" s="32"/>
      <c r="H217" s="32"/>
      <c r="I217" s="32"/>
    </row>
    <row r="218" spans="1:9" hidden="1" x14ac:dyDescent="0.2">
      <c r="A218" s="32"/>
      <c r="B218" s="32"/>
      <c r="C218" s="32"/>
      <c r="D218" s="32"/>
      <c r="E218" s="32"/>
      <c r="F218" s="32"/>
      <c r="G218" s="32"/>
      <c r="H218" s="32"/>
      <c r="I218" s="32"/>
    </row>
    <row r="219" spans="1:9" hidden="1" x14ac:dyDescent="0.2">
      <c r="A219" s="32"/>
      <c r="B219" s="32"/>
      <c r="C219" s="32"/>
      <c r="D219" s="32"/>
      <c r="E219" s="32"/>
      <c r="F219" s="32"/>
      <c r="G219" s="32"/>
      <c r="H219" s="32"/>
      <c r="I219" s="32"/>
    </row>
    <row r="220" spans="1:9" hidden="1" x14ac:dyDescent="0.2">
      <c r="A220" s="32"/>
      <c r="B220" s="32"/>
      <c r="C220" s="32"/>
      <c r="D220" s="32"/>
      <c r="E220" s="32"/>
      <c r="F220" s="32"/>
      <c r="G220" s="32"/>
      <c r="H220" s="32"/>
      <c r="I220" s="32"/>
    </row>
    <row r="221" spans="1:9" hidden="1" x14ac:dyDescent="0.2">
      <c r="A221" s="32"/>
      <c r="B221" s="32"/>
      <c r="C221" s="32"/>
      <c r="D221" s="32"/>
      <c r="E221" s="32"/>
      <c r="F221" s="32"/>
      <c r="G221" s="32"/>
      <c r="H221" s="32"/>
      <c r="I221" s="32"/>
    </row>
    <row r="222" spans="1:9" hidden="1" x14ac:dyDescent="0.2">
      <c r="A222" s="32"/>
      <c r="B222" s="32"/>
      <c r="C222" s="32"/>
      <c r="D222" s="32"/>
      <c r="E222" s="32"/>
      <c r="F222" s="32"/>
      <c r="G222" s="32"/>
      <c r="H222" s="32"/>
      <c r="I222" s="32"/>
    </row>
    <row r="223" spans="1:9" hidden="1" x14ac:dyDescent="0.2">
      <c r="A223" s="32"/>
      <c r="B223" s="32"/>
      <c r="C223" s="32"/>
      <c r="D223" s="32"/>
      <c r="E223" s="32"/>
      <c r="F223" s="32"/>
      <c r="G223" s="32"/>
      <c r="H223" s="32"/>
      <c r="I223" s="32"/>
    </row>
    <row r="224" spans="1:9" hidden="1" x14ac:dyDescent="0.2">
      <c r="A224" s="32"/>
      <c r="B224" s="32"/>
      <c r="C224" s="32"/>
      <c r="D224" s="32"/>
      <c r="E224" s="32"/>
      <c r="F224" s="32"/>
      <c r="G224" s="32"/>
      <c r="H224" s="32"/>
      <c r="I224" s="32"/>
    </row>
    <row r="225" spans="1:9" hidden="1" x14ac:dyDescent="0.2">
      <c r="A225" s="32"/>
      <c r="B225" s="32"/>
      <c r="C225" s="32"/>
      <c r="D225" s="32"/>
      <c r="E225" s="32"/>
      <c r="F225" s="32"/>
      <c r="G225" s="32"/>
      <c r="H225" s="32"/>
      <c r="I225" s="32"/>
    </row>
    <row r="226" spans="1:9" hidden="1" x14ac:dyDescent="0.2">
      <c r="A226" s="32"/>
      <c r="B226" s="32"/>
      <c r="C226" s="32"/>
      <c r="D226" s="32"/>
      <c r="E226" s="32"/>
      <c r="F226" s="32"/>
      <c r="G226" s="32"/>
      <c r="H226" s="32"/>
      <c r="I226" s="32"/>
    </row>
    <row r="227" spans="1:9" hidden="1" x14ac:dyDescent="0.2">
      <c r="A227" s="32"/>
      <c r="B227" s="32"/>
      <c r="C227" s="32"/>
      <c r="D227" s="32"/>
      <c r="E227" s="32"/>
      <c r="F227" s="32"/>
      <c r="G227" s="32"/>
      <c r="H227" s="32"/>
      <c r="I227" s="32"/>
    </row>
    <row r="228" spans="1:9" hidden="1" x14ac:dyDescent="0.2">
      <c r="A228" s="32"/>
      <c r="B228" s="32"/>
      <c r="C228" s="32"/>
      <c r="D228" s="32"/>
      <c r="E228" s="32"/>
      <c r="F228" s="32"/>
      <c r="G228" s="32"/>
      <c r="H228" s="32"/>
      <c r="I228" s="32"/>
    </row>
    <row r="229" spans="1:9" hidden="1" x14ac:dyDescent="0.2">
      <c r="A229" s="32"/>
      <c r="B229" s="32"/>
      <c r="C229" s="32"/>
      <c r="D229" s="32"/>
      <c r="E229" s="32"/>
      <c r="F229" s="32"/>
      <c r="G229" s="32"/>
      <c r="H229" s="32"/>
      <c r="I229" s="32"/>
    </row>
    <row r="230" spans="1:9" hidden="1" x14ac:dyDescent="0.2">
      <c r="A230" s="32"/>
      <c r="B230" s="32"/>
      <c r="C230" s="32"/>
      <c r="D230" s="32"/>
      <c r="E230" s="32"/>
      <c r="F230" s="32"/>
      <c r="G230" s="32"/>
      <c r="H230" s="32"/>
      <c r="I230" s="32"/>
    </row>
    <row r="231" spans="1:9" hidden="1" x14ac:dyDescent="0.2">
      <c r="A231" s="32"/>
      <c r="B231" s="32"/>
      <c r="C231" s="32"/>
      <c r="D231" s="32"/>
      <c r="E231" s="32"/>
      <c r="F231" s="32"/>
      <c r="G231" s="32"/>
      <c r="H231" s="32"/>
      <c r="I231" s="32"/>
    </row>
    <row r="232" spans="1:9" hidden="1" x14ac:dyDescent="0.2">
      <c r="A232" s="32"/>
      <c r="B232" s="32"/>
      <c r="C232" s="32"/>
      <c r="D232" s="32"/>
      <c r="E232" s="32"/>
      <c r="F232" s="32"/>
      <c r="G232" s="32"/>
      <c r="H232" s="32"/>
      <c r="I232" s="32"/>
    </row>
    <row r="233" spans="1:9" hidden="1" x14ac:dyDescent="0.2">
      <c r="A233" s="32"/>
      <c r="B233" s="32"/>
      <c r="C233" s="32"/>
      <c r="D233" s="32"/>
      <c r="E233" s="32"/>
      <c r="F233" s="32"/>
      <c r="G233" s="32"/>
      <c r="H233" s="32"/>
      <c r="I233" s="32"/>
    </row>
    <row r="234" spans="1:9" hidden="1" x14ac:dyDescent="0.2">
      <c r="A234" s="32"/>
      <c r="B234" s="32"/>
      <c r="C234" s="32"/>
      <c r="D234" s="32"/>
      <c r="E234" s="32"/>
      <c r="F234" s="32"/>
      <c r="G234" s="32"/>
      <c r="H234" s="32"/>
      <c r="I234" s="32"/>
    </row>
    <row r="235" spans="1:9" hidden="1" x14ac:dyDescent="0.2">
      <c r="A235" s="32"/>
      <c r="B235" s="32"/>
      <c r="C235" s="32"/>
      <c r="D235" s="32"/>
      <c r="E235" s="32"/>
      <c r="F235" s="32"/>
      <c r="G235" s="32"/>
      <c r="H235" s="32"/>
      <c r="I235" s="32"/>
    </row>
    <row r="236" spans="1:9" hidden="1" x14ac:dyDescent="0.2">
      <c r="A236" s="32"/>
      <c r="B236" s="32"/>
      <c r="C236" s="32"/>
      <c r="D236" s="32"/>
      <c r="E236" s="32"/>
      <c r="F236" s="32"/>
      <c r="G236" s="32"/>
      <c r="H236" s="32"/>
      <c r="I236" s="32"/>
    </row>
    <row r="237" spans="1:9" hidden="1" x14ac:dyDescent="0.2">
      <c r="A237" s="32"/>
      <c r="B237" s="32"/>
      <c r="C237" s="32"/>
      <c r="D237" s="32"/>
      <c r="E237" s="32"/>
      <c r="F237" s="32"/>
      <c r="G237" s="32"/>
      <c r="H237" s="32"/>
      <c r="I237" s="32"/>
    </row>
    <row r="238" spans="1:9" hidden="1" x14ac:dyDescent="0.2">
      <c r="A238" s="32"/>
      <c r="B238" s="32"/>
      <c r="C238" s="32"/>
      <c r="D238" s="32"/>
      <c r="E238" s="32"/>
      <c r="F238" s="32"/>
      <c r="G238" s="32"/>
      <c r="H238" s="32"/>
      <c r="I238" s="32"/>
    </row>
    <row r="239" spans="1:9" hidden="1" x14ac:dyDescent="0.2">
      <c r="A239" s="32"/>
      <c r="B239" s="32"/>
      <c r="C239" s="32"/>
      <c r="D239" s="32"/>
      <c r="E239" s="32"/>
      <c r="F239" s="32"/>
      <c r="G239" s="32"/>
      <c r="H239" s="32"/>
      <c r="I239" s="32"/>
    </row>
    <row r="240" spans="1:9" hidden="1" x14ac:dyDescent="0.2">
      <c r="A240" s="32"/>
      <c r="B240" s="32"/>
      <c r="C240" s="32"/>
      <c r="D240" s="32"/>
      <c r="E240" s="32"/>
      <c r="F240" s="32"/>
      <c r="G240" s="32"/>
      <c r="H240" s="32"/>
      <c r="I240" s="32"/>
    </row>
    <row r="241" spans="1:9" hidden="1" x14ac:dyDescent="0.2">
      <c r="A241" s="32"/>
      <c r="B241" s="32"/>
      <c r="C241" s="32"/>
      <c r="D241" s="32"/>
      <c r="E241" s="32"/>
      <c r="F241" s="32"/>
      <c r="G241" s="32"/>
      <c r="H241" s="32"/>
      <c r="I241" s="32"/>
    </row>
    <row r="242" spans="1:9" hidden="1" x14ac:dyDescent="0.2">
      <c r="A242" s="32"/>
      <c r="B242" s="32"/>
      <c r="C242" s="32"/>
      <c r="D242" s="32"/>
      <c r="E242" s="32"/>
      <c r="F242" s="32"/>
      <c r="G242" s="32"/>
      <c r="H242" s="32"/>
      <c r="I242" s="32"/>
    </row>
    <row r="243" spans="1:9" hidden="1" x14ac:dyDescent="0.2">
      <c r="A243" s="32"/>
      <c r="B243" s="32"/>
      <c r="C243" s="32"/>
      <c r="D243" s="32"/>
      <c r="E243" s="32"/>
      <c r="F243" s="32"/>
      <c r="G243" s="32"/>
      <c r="H243" s="32"/>
      <c r="I243" s="32"/>
    </row>
    <row r="244" spans="1:9" hidden="1" x14ac:dyDescent="0.2">
      <c r="A244" s="32"/>
      <c r="B244" s="32"/>
      <c r="C244" s="32"/>
      <c r="D244" s="32"/>
      <c r="E244" s="32"/>
      <c r="F244" s="32"/>
      <c r="G244" s="32"/>
      <c r="H244" s="32"/>
      <c r="I244" s="32"/>
    </row>
    <row r="245" spans="1:9" hidden="1" x14ac:dyDescent="0.2">
      <c r="A245" s="32"/>
      <c r="B245" s="32"/>
      <c r="C245" s="32"/>
      <c r="D245" s="32"/>
      <c r="E245" s="32"/>
      <c r="F245" s="32"/>
      <c r="G245" s="32"/>
      <c r="H245" s="32"/>
      <c r="I245" s="32"/>
    </row>
    <row r="246" spans="1:9" hidden="1" x14ac:dyDescent="0.2">
      <c r="A246" s="32"/>
      <c r="B246" s="32"/>
      <c r="C246" s="32"/>
      <c r="D246" s="32"/>
      <c r="E246" s="32"/>
      <c r="F246" s="32"/>
      <c r="G246" s="32"/>
      <c r="H246" s="32"/>
      <c r="I246" s="32"/>
    </row>
    <row r="247" spans="1:9" hidden="1" x14ac:dyDescent="0.2">
      <c r="A247" s="32"/>
      <c r="B247" s="32"/>
      <c r="C247" s="32"/>
      <c r="D247" s="32"/>
      <c r="E247" s="32"/>
      <c r="F247" s="32"/>
      <c r="G247" s="32"/>
      <c r="H247" s="32"/>
      <c r="I247" s="32"/>
    </row>
    <row r="248" spans="1:9" hidden="1" x14ac:dyDescent="0.2">
      <c r="A248" s="32"/>
      <c r="B248" s="32"/>
      <c r="C248" s="32"/>
      <c r="D248" s="32"/>
      <c r="E248" s="32"/>
      <c r="F248" s="32"/>
      <c r="G248" s="32"/>
      <c r="H248" s="32"/>
      <c r="I248" s="32"/>
    </row>
    <row r="249" spans="1:9" hidden="1" x14ac:dyDescent="0.2">
      <c r="A249" s="32"/>
      <c r="B249" s="32"/>
      <c r="C249" s="32"/>
      <c r="D249" s="32"/>
      <c r="E249" s="32"/>
      <c r="F249" s="32"/>
      <c r="G249" s="32"/>
      <c r="H249" s="32"/>
      <c r="I249" s="32"/>
    </row>
    <row r="250" spans="1:9" hidden="1" x14ac:dyDescent="0.2">
      <c r="A250" s="32"/>
      <c r="B250" s="32"/>
      <c r="C250" s="32"/>
      <c r="D250" s="32"/>
      <c r="E250" s="32"/>
      <c r="F250" s="32"/>
      <c r="G250" s="32"/>
      <c r="H250" s="32"/>
      <c r="I250" s="32"/>
    </row>
    <row r="251" spans="1:9" hidden="1" x14ac:dyDescent="0.2">
      <c r="A251" s="32"/>
      <c r="B251" s="32"/>
      <c r="C251" s="32"/>
      <c r="D251" s="32"/>
      <c r="E251" s="32"/>
      <c r="F251" s="32"/>
      <c r="G251" s="32"/>
      <c r="H251" s="32"/>
      <c r="I251" s="32"/>
    </row>
    <row r="252" spans="1:9" hidden="1" x14ac:dyDescent="0.2">
      <c r="A252" s="32"/>
      <c r="B252" s="32"/>
      <c r="C252" s="32"/>
      <c r="D252" s="32"/>
      <c r="E252" s="32"/>
      <c r="F252" s="32"/>
      <c r="G252" s="32"/>
      <c r="H252" s="32"/>
      <c r="I252" s="32"/>
    </row>
    <row r="253" spans="1:9" hidden="1" x14ac:dyDescent="0.2">
      <c r="A253" s="32"/>
      <c r="B253" s="32"/>
      <c r="C253" s="32"/>
      <c r="D253" s="32"/>
      <c r="E253" s="32"/>
      <c r="F253" s="32"/>
      <c r="G253" s="32"/>
      <c r="H253" s="32"/>
      <c r="I253" s="32"/>
    </row>
    <row r="254" spans="1:9" hidden="1" x14ac:dyDescent="0.2">
      <c r="A254" s="32"/>
      <c r="B254" s="32"/>
      <c r="C254" s="32"/>
      <c r="D254" s="32"/>
      <c r="E254" s="32"/>
      <c r="F254" s="32"/>
      <c r="G254" s="32"/>
      <c r="H254" s="32"/>
      <c r="I254" s="32"/>
    </row>
    <row r="255" spans="1:9" hidden="1" x14ac:dyDescent="0.2">
      <c r="A255" s="32"/>
      <c r="B255" s="32"/>
      <c r="C255" s="32"/>
      <c r="D255" s="32"/>
      <c r="E255" s="32"/>
      <c r="F255" s="32"/>
      <c r="G255" s="32"/>
      <c r="H255" s="32"/>
      <c r="I255" s="32"/>
    </row>
    <row r="256" spans="1:9" hidden="1" x14ac:dyDescent="0.2">
      <c r="A256" s="32"/>
      <c r="B256" s="32"/>
      <c r="C256" s="32"/>
      <c r="D256" s="32"/>
      <c r="E256" s="32"/>
      <c r="F256" s="32"/>
      <c r="G256" s="32"/>
      <c r="H256" s="32"/>
      <c r="I256" s="32"/>
    </row>
    <row r="257" spans="1:9" hidden="1" x14ac:dyDescent="0.2">
      <c r="A257" s="32"/>
      <c r="B257" s="32"/>
      <c r="C257" s="32"/>
      <c r="D257" s="32"/>
      <c r="E257" s="32"/>
      <c r="F257" s="32"/>
      <c r="G257" s="32"/>
      <c r="H257" s="32"/>
      <c r="I257" s="32"/>
    </row>
    <row r="258" spans="1:9" hidden="1" x14ac:dyDescent="0.2">
      <c r="A258" s="32"/>
      <c r="B258" s="32"/>
      <c r="C258" s="32"/>
      <c r="D258" s="32"/>
      <c r="E258" s="32"/>
      <c r="F258" s="32"/>
      <c r="G258" s="32"/>
      <c r="H258" s="32"/>
      <c r="I258" s="32"/>
    </row>
    <row r="259" spans="1:9" hidden="1" x14ac:dyDescent="0.2">
      <c r="A259" s="32"/>
      <c r="B259" s="32"/>
      <c r="C259" s="32"/>
      <c r="D259" s="32"/>
      <c r="E259" s="32"/>
      <c r="F259" s="32"/>
      <c r="G259" s="32"/>
      <c r="H259" s="32"/>
      <c r="I259" s="32"/>
    </row>
    <row r="260" spans="1:9" hidden="1" x14ac:dyDescent="0.2">
      <c r="A260" s="32"/>
      <c r="B260" s="32"/>
      <c r="C260" s="32"/>
      <c r="D260" s="32"/>
      <c r="E260" s="32"/>
      <c r="F260" s="32"/>
      <c r="G260" s="32"/>
      <c r="H260" s="32"/>
      <c r="I260" s="32"/>
    </row>
    <row r="261" spans="1:9" hidden="1" x14ac:dyDescent="0.2">
      <c r="A261" s="32"/>
      <c r="B261" s="32"/>
      <c r="C261" s="32"/>
      <c r="D261" s="32"/>
      <c r="E261" s="32"/>
      <c r="F261" s="32"/>
      <c r="G261" s="32"/>
      <c r="H261" s="32"/>
      <c r="I261" s="32"/>
    </row>
    <row r="262" spans="1:9" hidden="1" x14ac:dyDescent="0.2">
      <c r="A262" s="32"/>
      <c r="B262" s="32"/>
      <c r="C262" s="32"/>
      <c r="D262" s="32"/>
      <c r="E262" s="32"/>
      <c r="F262" s="32"/>
      <c r="G262" s="32"/>
      <c r="H262" s="32"/>
      <c r="I262" s="32"/>
    </row>
    <row r="263" spans="1:9" hidden="1" x14ac:dyDescent="0.2">
      <c r="A263" s="32"/>
      <c r="B263" s="32"/>
      <c r="C263" s="32"/>
      <c r="D263" s="32"/>
      <c r="E263" s="32"/>
      <c r="F263" s="32"/>
      <c r="G263" s="32"/>
      <c r="H263" s="32"/>
      <c r="I263" s="32"/>
    </row>
    <row r="264" spans="1:9" hidden="1" x14ac:dyDescent="0.2">
      <c r="A264" s="32"/>
      <c r="B264" s="32"/>
      <c r="C264" s="32"/>
      <c r="D264" s="32"/>
      <c r="E264" s="32"/>
      <c r="F264" s="32"/>
      <c r="G264" s="32"/>
      <c r="H264" s="32"/>
      <c r="I264" s="32"/>
    </row>
    <row r="265" spans="1:9" hidden="1" x14ac:dyDescent="0.2">
      <c r="A265" s="32"/>
      <c r="B265" s="32"/>
      <c r="C265" s="32"/>
      <c r="D265" s="32"/>
      <c r="E265" s="32"/>
      <c r="F265" s="32"/>
      <c r="G265" s="32"/>
      <c r="H265" s="32"/>
      <c r="I265" s="32"/>
    </row>
    <row r="266" spans="1:9" hidden="1" x14ac:dyDescent="0.2">
      <c r="A266" s="32"/>
      <c r="B266" s="32"/>
      <c r="C266" s="32"/>
      <c r="D266" s="32"/>
      <c r="E266" s="32"/>
      <c r="F266" s="32"/>
      <c r="G266" s="32"/>
      <c r="H266" s="32"/>
      <c r="I266" s="32"/>
    </row>
    <row r="267" spans="1:9" hidden="1" x14ac:dyDescent="0.2">
      <c r="A267" s="32"/>
      <c r="B267" s="32"/>
      <c r="C267" s="32"/>
      <c r="D267" s="32"/>
      <c r="E267" s="32"/>
      <c r="F267" s="32"/>
      <c r="G267" s="32"/>
      <c r="H267" s="32"/>
      <c r="I267" s="32"/>
    </row>
    <row r="268" spans="1:9" hidden="1" x14ac:dyDescent="0.2">
      <c r="A268" s="32"/>
      <c r="B268" s="32"/>
      <c r="C268" s="32"/>
      <c r="D268" s="32"/>
      <c r="E268" s="32"/>
      <c r="F268" s="32"/>
      <c r="G268" s="32"/>
      <c r="H268" s="32"/>
      <c r="I268" s="32"/>
    </row>
    <row r="269" spans="1:9" hidden="1" x14ac:dyDescent="0.2">
      <c r="A269" s="32"/>
      <c r="B269" s="32"/>
      <c r="C269" s="32"/>
      <c r="D269" s="32"/>
      <c r="E269" s="32"/>
      <c r="F269" s="32"/>
      <c r="G269" s="32"/>
      <c r="H269" s="32"/>
      <c r="I269" s="32"/>
    </row>
    <row r="270" spans="1:9" hidden="1" x14ac:dyDescent="0.2">
      <c r="A270" s="32"/>
      <c r="B270" s="32"/>
      <c r="C270" s="32"/>
      <c r="D270" s="32"/>
      <c r="E270" s="32"/>
      <c r="F270" s="32"/>
      <c r="G270" s="32"/>
      <c r="H270" s="32"/>
      <c r="I270" s="32"/>
    </row>
    <row r="271" spans="1:9" hidden="1" x14ac:dyDescent="0.2">
      <c r="A271" s="32"/>
      <c r="B271" s="32"/>
      <c r="C271" s="32"/>
      <c r="D271" s="32"/>
      <c r="E271" s="32"/>
      <c r="F271" s="32"/>
      <c r="G271" s="32"/>
      <c r="H271" s="32"/>
      <c r="I271" s="32"/>
    </row>
    <row r="272" spans="1:9" hidden="1" x14ac:dyDescent="0.2">
      <c r="A272" s="32"/>
      <c r="B272" s="32"/>
      <c r="C272" s="32"/>
      <c r="D272" s="32"/>
      <c r="E272" s="32"/>
      <c r="F272" s="32"/>
      <c r="G272" s="32"/>
      <c r="H272" s="32"/>
      <c r="I272" s="32"/>
    </row>
    <row r="273" spans="1:9" hidden="1" x14ac:dyDescent="0.2">
      <c r="A273" s="32"/>
      <c r="B273" s="32"/>
      <c r="C273" s="32"/>
      <c r="D273" s="32"/>
      <c r="E273" s="32"/>
      <c r="F273" s="32"/>
      <c r="G273" s="32"/>
      <c r="H273" s="32"/>
      <c r="I273" s="32"/>
    </row>
    <row r="274" spans="1:9" hidden="1" x14ac:dyDescent="0.2">
      <c r="A274" s="32"/>
      <c r="B274" s="32"/>
      <c r="C274" s="32"/>
      <c r="D274" s="32"/>
      <c r="E274" s="32"/>
      <c r="F274" s="32"/>
      <c r="G274" s="32"/>
      <c r="H274" s="32"/>
      <c r="I274" s="32"/>
    </row>
    <row r="275" spans="1:9" hidden="1" x14ac:dyDescent="0.2">
      <c r="A275" s="32"/>
      <c r="B275" s="32"/>
      <c r="C275" s="32"/>
      <c r="D275" s="32"/>
      <c r="E275" s="32"/>
      <c r="F275" s="32"/>
      <c r="G275" s="32"/>
      <c r="H275" s="32"/>
      <c r="I275" s="32"/>
    </row>
    <row r="276" spans="1:9" hidden="1" x14ac:dyDescent="0.2">
      <c r="A276" s="32"/>
      <c r="B276" s="32"/>
      <c r="C276" s="32"/>
      <c r="D276" s="32"/>
      <c r="E276" s="32"/>
      <c r="F276" s="32"/>
      <c r="G276" s="32"/>
      <c r="H276" s="32"/>
      <c r="I276" s="32"/>
    </row>
    <row r="277" spans="1:9" hidden="1" x14ac:dyDescent="0.2">
      <c r="A277" s="32"/>
      <c r="B277" s="32"/>
      <c r="C277" s="32"/>
      <c r="D277" s="32"/>
      <c r="E277" s="32"/>
      <c r="F277" s="32"/>
      <c r="G277" s="32"/>
      <c r="H277" s="32"/>
      <c r="I277" s="32"/>
    </row>
    <row r="278" spans="1:9" hidden="1" x14ac:dyDescent="0.2">
      <c r="A278" s="32"/>
      <c r="B278" s="32"/>
      <c r="C278" s="32"/>
      <c r="D278" s="32"/>
      <c r="E278" s="32"/>
      <c r="F278" s="32"/>
      <c r="G278" s="32"/>
      <c r="H278" s="32"/>
      <c r="I278" s="32"/>
    </row>
    <row r="279" spans="1:9" hidden="1" x14ac:dyDescent="0.2">
      <c r="A279" s="32"/>
      <c r="B279" s="32"/>
      <c r="C279" s="32"/>
      <c r="D279" s="32"/>
      <c r="E279" s="32"/>
      <c r="F279" s="32"/>
      <c r="G279" s="32"/>
      <c r="H279" s="32"/>
      <c r="I279" s="32"/>
    </row>
    <row r="280" spans="1:9" hidden="1" x14ac:dyDescent="0.2">
      <c r="A280" s="32"/>
      <c r="B280" s="32"/>
      <c r="C280" s="32"/>
      <c r="D280" s="32"/>
      <c r="E280" s="32"/>
      <c r="F280" s="32"/>
      <c r="G280" s="32"/>
      <c r="H280" s="32"/>
      <c r="I280" s="32"/>
    </row>
    <row r="281" spans="1:9" hidden="1" x14ac:dyDescent="0.2">
      <c r="A281" s="32"/>
      <c r="B281" s="32"/>
      <c r="C281" s="32"/>
      <c r="D281" s="32"/>
      <c r="E281" s="32"/>
      <c r="F281" s="32"/>
      <c r="G281" s="32"/>
      <c r="H281" s="32"/>
      <c r="I281" s="32"/>
    </row>
    <row r="282" spans="1:9" hidden="1" x14ac:dyDescent="0.2">
      <c r="A282" s="32"/>
      <c r="B282" s="32"/>
      <c r="C282" s="32"/>
      <c r="D282" s="32"/>
      <c r="E282" s="32"/>
      <c r="F282" s="32"/>
      <c r="G282" s="32"/>
      <c r="H282" s="32"/>
      <c r="I282" s="32"/>
    </row>
    <row r="283" spans="1:9" hidden="1" x14ac:dyDescent="0.2">
      <c r="A283" s="32"/>
      <c r="B283" s="32"/>
      <c r="C283" s="32"/>
      <c r="D283" s="32"/>
      <c r="E283" s="32"/>
      <c r="F283" s="32"/>
      <c r="G283" s="32"/>
      <c r="H283" s="32"/>
      <c r="I283" s="32"/>
    </row>
    <row r="284" spans="1:9" hidden="1" x14ac:dyDescent="0.2">
      <c r="A284" s="32"/>
      <c r="B284" s="32"/>
      <c r="C284" s="32"/>
      <c r="D284" s="32"/>
      <c r="E284" s="32"/>
      <c r="F284" s="32"/>
      <c r="G284" s="32"/>
      <c r="H284" s="32"/>
      <c r="I284" s="32"/>
    </row>
    <row r="285" spans="1:9" hidden="1" x14ac:dyDescent="0.2">
      <c r="A285" s="32"/>
      <c r="B285" s="32"/>
      <c r="C285" s="32"/>
      <c r="D285" s="32"/>
      <c r="E285" s="32"/>
      <c r="F285" s="32"/>
      <c r="G285" s="32"/>
      <c r="H285" s="32"/>
      <c r="I285" s="32"/>
    </row>
    <row r="286" spans="1:9" hidden="1" x14ac:dyDescent="0.2">
      <c r="A286" s="32"/>
      <c r="B286" s="32"/>
      <c r="C286" s="32"/>
      <c r="D286" s="32"/>
      <c r="E286" s="32"/>
      <c r="F286" s="32"/>
      <c r="G286" s="32"/>
      <c r="H286" s="32"/>
      <c r="I286" s="32"/>
    </row>
    <row r="287" spans="1:9" hidden="1" x14ac:dyDescent="0.2">
      <c r="A287" s="32"/>
      <c r="B287" s="32"/>
      <c r="C287" s="32"/>
      <c r="D287" s="32"/>
      <c r="E287" s="32"/>
      <c r="F287" s="32"/>
      <c r="G287" s="32"/>
      <c r="H287" s="32"/>
      <c r="I287" s="32"/>
    </row>
    <row r="288" spans="1:9" hidden="1" x14ac:dyDescent="0.2">
      <c r="A288" s="32"/>
      <c r="B288" s="32"/>
      <c r="C288" s="32"/>
      <c r="D288" s="32"/>
      <c r="E288" s="32"/>
      <c r="F288" s="32"/>
      <c r="G288" s="32"/>
      <c r="H288" s="32"/>
      <c r="I288" s="32"/>
    </row>
    <row r="289" spans="1:9" hidden="1" x14ac:dyDescent="0.2">
      <c r="A289" s="32"/>
      <c r="B289" s="32"/>
      <c r="C289" s="32"/>
      <c r="D289" s="32"/>
      <c r="E289" s="32"/>
      <c r="F289" s="32"/>
      <c r="G289" s="32"/>
      <c r="H289" s="32"/>
      <c r="I289" s="32"/>
    </row>
    <row r="290" spans="1:9" hidden="1" x14ac:dyDescent="0.2">
      <c r="A290" s="32"/>
      <c r="B290" s="32"/>
      <c r="C290" s="32"/>
      <c r="D290" s="32"/>
      <c r="E290" s="32"/>
      <c r="F290" s="32"/>
      <c r="G290" s="32"/>
      <c r="H290" s="32"/>
      <c r="I290" s="32"/>
    </row>
    <row r="291" spans="1:9" hidden="1" x14ac:dyDescent="0.2">
      <c r="A291" s="32"/>
      <c r="B291" s="32"/>
      <c r="C291" s="32"/>
      <c r="D291" s="32"/>
      <c r="E291" s="32"/>
      <c r="F291" s="32"/>
      <c r="G291" s="32"/>
      <c r="H291" s="32"/>
      <c r="I291" s="32"/>
    </row>
    <row r="292" spans="1:9" hidden="1" x14ac:dyDescent="0.2">
      <c r="A292" s="32"/>
      <c r="B292" s="32"/>
      <c r="C292" s="32"/>
      <c r="D292" s="32"/>
      <c r="E292" s="32"/>
      <c r="F292" s="32"/>
      <c r="G292" s="32"/>
      <c r="H292" s="32"/>
      <c r="I292" s="32"/>
    </row>
    <row r="293" spans="1:9" hidden="1" x14ac:dyDescent="0.2">
      <c r="A293" s="32"/>
      <c r="B293" s="32"/>
      <c r="C293" s="32"/>
      <c r="D293" s="32"/>
      <c r="E293" s="32"/>
      <c r="F293" s="32"/>
      <c r="G293" s="32"/>
      <c r="H293" s="32"/>
      <c r="I293" s="32"/>
    </row>
    <row r="294" spans="1:9" hidden="1" x14ac:dyDescent="0.2">
      <c r="A294" s="32"/>
      <c r="B294" s="32"/>
      <c r="C294" s="32"/>
      <c r="D294" s="32"/>
      <c r="E294" s="32"/>
      <c r="F294" s="32"/>
      <c r="G294" s="32"/>
      <c r="H294" s="32"/>
      <c r="I294" s="32"/>
    </row>
    <row r="295" spans="1:9" hidden="1" x14ac:dyDescent="0.2">
      <c r="A295" s="32"/>
      <c r="B295" s="32"/>
      <c r="C295" s="32"/>
      <c r="D295" s="32"/>
      <c r="E295" s="32"/>
      <c r="F295" s="32"/>
      <c r="G295" s="32"/>
      <c r="H295" s="32"/>
      <c r="I295" s="32"/>
    </row>
    <row r="296" spans="1:9" hidden="1" x14ac:dyDescent="0.2">
      <c r="A296" s="32"/>
      <c r="B296" s="32"/>
      <c r="C296" s="32"/>
      <c r="D296" s="32"/>
      <c r="E296" s="32"/>
      <c r="F296" s="32"/>
      <c r="G296" s="32"/>
      <c r="H296" s="32"/>
      <c r="I296" s="32"/>
    </row>
    <row r="297" spans="1:9" hidden="1" x14ac:dyDescent="0.2">
      <c r="A297" s="32"/>
      <c r="B297" s="32"/>
      <c r="C297" s="32"/>
      <c r="D297" s="32"/>
      <c r="E297" s="32"/>
      <c r="F297" s="32"/>
      <c r="G297" s="32"/>
      <c r="H297" s="32"/>
      <c r="I297" s="32"/>
    </row>
    <row r="298" spans="1:9" hidden="1" x14ac:dyDescent="0.2">
      <c r="A298" s="32"/>
      <c r="B298" s="32"/>
      <c r="C298" s="32"/>
      <c r="D298" s="32"/>
      <c r="E298" s="32"/>
      <c r="F298" s="32"/>
      <c r="G298" s="32"/>
      <c r="H298" s="32"/>
      <c r="I298" s="32"/>
    </row>
    <row r="299" spans="1:9" x14ac:dyDescent="0.2">
      <c r="A299" s="32"/>
      <c r="B299" s="32"/>
      <c r="C299" s="188"/>
      <c r="D299" s="32"/>
      <c r="E299" s="32"/>
      <c r="F299" s="32"/>
      <c r="G299" s="32"/>
      <c r="H299" s="32"/>
      <c r="I299" s="32"/>
    </row>
    <row r="300" spans="1:9" x14ac:dyDescent="0.2">
      <c r="A300" s="182">
        <v>1</v>
      </c>
      <c r="B300" s="589" t="str">
        <f t="shared" ref="B300:B309" si="0">IFERROR(INDEX(H$39:H$89,MATCH(A300&amp;". koht",H$40:H$90,0)),"")</f>
        <v>Jaan Sepp, Viktor Švarõgin</v>
      </c>
      <c r="C300" s="32"/>
      <c r="D300" s="32"/>
      <c r="E300" s="32"/>
      <c r="F300" s="32"/>
      <c r="G300" s="32"/>
      <c r="H300" s="32"/>
      <c r="I300" s="32"/>
    </row>
    <row r="301" spans="1:9" x14ac:dyDescent="0.2">
      <c r="A301" s="182">
        <v>2</v>
      </c>
      <c r="B301" s="590" t="str">
        <f t="shared" si="0"/>
        <v>Ivar Viljaste, Tõnu Kapper</v>
      </c>
      <c r="C301" s="32"/>
      <c r="D301" s="32"/>
      <c r="E301" s="32"/>
      <c r="F301" s="32"/>
      <c r="G301" s="32"/>
      <c r="H301" s="32"/>
      <c r="I301" s="32"/>
    </row>
    <row r="302" spans="1:9" x14ac:dyDescent="0.2">
      <c r="A302" s="182">
        <v>3</v>
      </c>
      <c r="B302" s="591" t="str">
        <f t="shared" si="0"/>
        <v>Jaanus Onton, Taavi Press</v>
      </c>
      <c r="C302" s="32"/>
      <c r="D302" s="32"/>
      <c r="E302" s="32"/>
      <c r="F302" s="32"/>
      <c r="G302" s="32"/>
      <c r="H302" s="32"/>
      <c r="I302" s="32"/>
    </row>
    <row r="303" spans="1:9" x14ac:dyDescent="0.2">
      <c r="A303" s="182">
        <v>4</v>
      </c>
      <c r="B303" s="175" t="str">
        <f t="shared" si="0"/>
        <v>Jaan Saar, Tõnu Piik</v>
      </c>
      <c r="C303" s="32"/>
      <c r="D303" s="32"/>
      <c r="E303" s="32"/>
      <c r="F303" s="32"/>
      <c r="G303" s="32"/>
      <c r="H303" s="32"/>
      <c r="I303" s="32"/>
    </row>
    <row r="304" spans="1:9" x14ac:dyDescent="0.2">
      <c r="A304" s="182">
        <v>5</v>
      </c>
      <c r="B304" s="175" t="str">
        <f t="shared" si="0"/>
        <v>Janek Tarto, Karla Purgats</v>
      </c>
      <c r="C304" s="32"/>
      <c r="D304" s="32"/>
      <c r="E304" s="32"/>
      <c r="F304" s="32"/>
      <c r="G304" s="32"/>
      <c r="H304" s="32"/>
      <c r="I304" s="32"/>
    </row>
    <row r="305" spans="1:9" x14ac:dyDescent="0.2">
      <c r="A305" s="182">
        <v>6</v>
      </c>
      <c r="B305" s="175" t="str">
        <f t="shared" si="0"/>
        <v>Illar Tõnurist, Oleg Rõndenkov</v>
      </c>
      <c r="C305" s="32"/>
      <c r="D305" s="32"/>
      <c r="E305" s="32"/>
      <c r="F305" s="32"/>
      <c r="G305" s="32"/>
      <c r="H305" s="32"/>
      <c r="I305" s="32"/>
    </row>
    <row r="306" spans="1:9" x14ac:dyDescent="0.2">
      <c r="A306" s="182">
        <v>7</v>
      </c>
      <c r="B306" s="175" t="str">
        <f t="shared" si="0"/>
        <v>Andrei Grintšak, Einar Juhkam</v>
      </c>
      <c r="C306" s="32"/>
      <c r="D306" s="32"/>
      <c r="E306" s="32"/>
      <c r="F306" s="32"/>
      <c r="G306" s="32"/>
      <c r="H306" s="32"/>
      <c r="I306" s="32"/>
    </row>
    <row r="307" spans="1:9" x14ac:dyDescent="0.2">
      <c r="A307" s="182">
        <v>8</v>
      </c>
      <c r="B307" s="175" t="str">
        <f t="shared" si="0"/>
        <v>Daniil Alekankin, Ljudmila Varendi</v>
      </c>
      <c r="C307" s="32"/>
      <c r="D307" s="32"/>
      <c r="E307" s="32"/>
      <c r="F307" s="32"/>
      <c r="G307" s="32"/>
      <c r="H307" s="32"/>
      <c r="I307" s="32"/>
    </row>
    <row r="308" spans="1:9" x14ac:dyDescent="0.2">
      <c r="A308" s="182">
        <v>9</v>
      </c>
      <c r="B308" s="175" t="str">
        <f t="shared" si="0"/>
        <v>Elmo Lageda, Henri Mitt</v>
      </c>
      <c r="C308" s="32"/>
      <c r="D308" s="32"/>
      <c r="E308" s="32"/>
      <c r="F308" s="32"/>
      <c r="G308" s="32"/>
      <c r="H308" s="32"/>
      <c r="I308" s="32"/>
    </row>
    <row r="309" spans="1:9" x14ac:dyDescent="0.2">
      <c r="A309" s="182">
        <v>10</v>
      </c>
      <c r="B309" s="175" t="str">
        <f t="shared" si="0"/>
        <v>Boriss Klubov, Urmas Jõeäär</v>
      </c>
      <c r="C309" s="32"/>
      <c r="D309" s="32"/>
      <c r="E309" s="32"/>
      <c r="F309" s="32"/>
      <c r="G309" s="32"/>
      <c r="H309" s="32"/>
      <c r="I309" s="32"/>
    </row>
  </sheetData>
  <conditionalFormatting sqref="C29">
    <cfRule type="aboveAverage" dxfId="3470" priority="257"/>
  </conditionalFormatting>
  <conditionalFormatting sqref="E29">
    <cfRule type="aboveAverage" dxfId="3469" priority="254"/>
  </conditionalFormatting>
  <conditionalFormatting sqref="F29">
    <cfRule type="aboveAverage" dxfId="3468" priority="252"/>
  </conditionalFormatting>
  <conditionalFormatting sqref="G29">
    <cfRule type="aboveAverage" dxfId="3467" priority="251"/>
  </conditionalFormatting>
  <conditionalFormatting sqref="H7:H11">
    <cfRule type="expression" dxfId="3466" priority="2578">
      <formula>AND(#REF!=1,IF(COUNTIF(#REF!,"=1")&gt;=2,TRUE))</formula>
    </cfRule>
    <cfRule type="expression" dxfId="3465" priority="2579">
      <formula>AND(#REF!=3,IF(COUNTIF(#REF!,"=3")&gt;=2,TRUE))</formula>
    </cfRule>
    <cfRule type="expression" dxfId="3464" priority="2580">
      <formula>AND(#REF!=2,IF(COUNTIF(#REF!,"=2")&gt;=2,TRUE))</formula>
    </cfRule>
  </conditionalFormatting>
  <conditionalFormatting sqref="H14:H18">
    <cfRule type="expression" dxfId="3463" priority="2581">
      <formula>AND(#REF!=1,IF(COUNTIF(#REF!,"=1")&gt;=2,TRUE))</formula>
    </cfRule>
    <cfRule type="expression" dxfId="3462" priority="2582">
      <formula>AND(#REF!=3,IF(COUNTIF(#REF!,"=3")&gt;=2,TRUE))</formula>
    </cfRule>
    <cfRule type="expression" dxfId="3461" priority="2583">
      <formula>AND(#REF!=2,IF(COUNTIF(#REF!,"=2")&gt;=2,TRUE))</formula>
    </cfRule>
  </conditionalFormatting>
  <conditionalFormatting sqref="H21:H25">
    <cfRule type="expression" dxfId="3460" priority="2584">
      <formula>AND(#REF!=1,IF(COUNTIF(#REF!,"=1")&gt;=2,TRUE))</formula>
    </cfRule>
    <cfRule type="expression" dxfId="3459" priority="2585">
      <formula>AND(#REF!=3,IF(COUNTIF(#REF!,"=3")&gt;=2,TRUE))</formula>
    </cfRule>
    <cfRule type="expression" dxfId="3458" priority="2586">
      <formula>AND(#REF!=2,IF(COUNTIF(#REF!,"=2")&gt;=2,TRUE))</formula>
    </cfRule>
  </conditionalFormatting>
  <conditionalFormatting sqref="H28:H29">
    <cfRule type="expression" dxfId="3457" priority="2587">
      <formula>AND(#REF!=1,IF(COUNTIF(#REF!,"=1")&gt;=2,TRUE))</formula>
    </cfRule>
    <cfRule type="expression" dxfId="3456" priority="2588">
      <formula>AND(#REF!=3,IF(COUNTIF(#REF!,"=3")&gt;=2,TRUE))</formula>
    </cfRule>
    <cfRule type="expression" dxfId="3455" priority="2589">
      <formula>AND(#REF!=2,IF(COUNTIF(#REF!,"=2")&gt;=2,TRUE))</formula>
    </cfRule>
  </conditionalFormatting>
  <conditionalFormatting sqref="B7:B10">
    <cfRule type="duplicateValues" dxfId="3454" priority="150"/>
  </conditionalFormatting>
  <conditionalFormatting sqref="B25:B28">
    <cfRule type="duplicateValues" dxfId="3453" priority="149"/>
  </conditionalFormatting>
  <conditionalFormatting sqref="B19:B22">
    <cfRule type="duplicateValues" dxfId="3452" priority="148"/>
  </conditionalFormatting>
  <conditionalFormatting sqref="B13:B16">
    <cfRule type="duplicateValues" dxfId="3451" priority="147"/>
  </conditionalFormatting>
  <conditionalFormatting sqref="G7:G10">
    <cfRule type="containsText" dxfId="3450" priority="145" operator="containsText" text="2">
      <formula>NOT(ISERROR(SEARCH("2",G7)))</formula>
    </cfRule>
    <cfRule type="containsText" dxfId="3449" priority="146" operator="containsText" text="1">
      <formula>NOT(ISERROR(SEARCH("1",G7)))</formula>
    </cfRule>
  </conditionalFormatting>
  <conditionalFormatting sqref="G10">
    <cfRule type="expression" dxfId="3448" priority="144">
      <formula>B10="-"</formula>
    </cfRule>
  </conditionalFormatting>
  <conditionalFormatting sqref="C7 C10">
    <cfRule type="aboveAverage" dxfId="3447" priority="143"/>
  </conditionalFormatting>
  <conditionalFormatting sqref="C8:C9">
    <cfRule type="aboveAverage" dxfId="3446" priority="142"/>
  </conditionalFormatting>
  <conditionalFormatting sqref="G13:G16">
    <cfRule type="containsText" dxfId="3445" priority="140" operator="containsText" text="2">
      <formula>NOT(ISERROR(SEARCH("2",G13)))</formula>
    </cfRule>
    <cfRule type="containsText" dxfId="3444" priority="141" operator="containsText" text="1">
      <formula>NOT(ISERROR(SEARCH("1",G13)))</formula>
    </cfRule>
  </conditionalFormatting>
  <conditionalFormatting sqref="G16">
    <cfRule type="expression" dxfId="3443" priority="139">
      <formula>B16="-"</formula>
    </cfRule>
  </conditionalFormatting>
  <conditionalFormatting sqref="C13 C16">
    <cfRule type="aboveAverage" dxfId="3442" priority="138"/>
  </conditionalFormatting>
  <conditionalFormatting sqref="C14:C15">
    <cfRule type="aboveAverage" dxfId="3441" priority="137"/>
  </conditionalFormatting>
  <conditionalFormatting sqref="G19:G22">
    <cfRule type="containsText" dxfId="3440" priority="135" operator="containsText" text="2">
      <formula>NOT(ISERROR(SEARCH("2",G19)))</formula>
    </cfRule>
    <cfRule type="containsText" dxfId="3439" priority="136" operator="containsText" text="1">
      <formula>NOT(ISERROR(SEARCH("1",G19)))</formula>
    </cfRule>
  </conditionalFormatting>
  <conditionalFormatting sqref="G22">
    <cfRule type="expression" dxfId="3438" priority="134">
      <formula>B22="-"</formula>
    </cfRule>
  </conditionalFormatting>
  <conditionalFormatting sqref="C19 C22">
    <cfRule type="aboveAverage" dxfId="3437" priority="133"/>
  </conditionalFormatting>
  <conditionalFormatting sqref="C20:C21">
    <cfRule type="aboveAverage" dxfId="3436" priority="132"/>
  </conditionalFormatting>
  <conditionalFormatting sqref="G25:G28">
    <cfRule type="containsText" dxfId="3435" priority="130" operator="containsText" text="2">
      <formula>NOT(ISERROR(SEARCH("2",G25)))</formula>
    </cfRule>
    <cfRule type="containsText" dxfId="3434" priority="131" operator="containsText" text="1">
      <formula>NOT(ISERROR(SEARCH("1",G25)))</formula>
    </cfRule>
  </conditionalFormatting>
  <conditionalFormatting sqref="G28">
    <cfRule type="expression" dxfId="3433" priority="129">
      <formula>B28="-"</formula>
    </cfRule>
  </conditionalFormatting>
  <conditionalFormatting sqref="C25 C28">
    <cfRule type="aboveAverage" dxfId="3432" priority="128"/>
  </conditionalFormatting>
  <conditionalFormatting sqref="C26:C27">
    <cfRule type="aboveAverage" dxfId="3431" priority="127"/>
  </conditionalFormatting>
  <conditionalFormatting sqref="E10">
    <cfRule type="expression" dxfId="3430" priority="126">
      <formula>AND(COUNT(E7:E10)&lt;2,IF(ISNUMBER(C10),C7&gt;C10))</formula>
    </cfRule>
  </conditionalFormatting>
  <conditionalFormatting sqref="E7">
    <cfRule type="expression" dxfId="3429" priority="125">
      <formula>AND(COUNT(E7:E10)&lt;2,IF(ISNUMBER(C7),C10&gt;C7))</formula>
    </cfRule>
  </conditionalFormatting>
  <conditionalFormatting sqref="E8">
    <cfRule type="expression" dxfId="3428" priority="124">
      <formula>AND(COUNT(E7:E10)&lt;2,IF(ISNUMBER(C8),C9&gt;C8))</formula>
    </cfRule>
  </conditionalFormatting>
  <conditionalFormatting sqref="E9">
    <cfRule type="expression" dxfId="3427" priority="123">
      <formula>AND(COUNT(E7:E10)&lt;2,IF(ISNUMBER(C9),C8&gt;C9))</formula>
    </cfRule>
  </conditionalFormatting>
  <conditionalFormatting sqref="E7:E10">
    <cfRule type="aboveAverage" dxfId="3426" priority="122"/>
  </conditionalFormatting>
  <conditionalFormatting sqref="F7">
    <cfRule type="expression" dxfId="3425" priority="117">
      <formula>AND(COUNT(F7:F10)&lt;2,IF(COUNT(E7:E10)=2,IF(AND(ISNUMBER(E7),COUNTIF(E7:E10,E7)=1,E7=MAX(E7:E10)),TRUE,FALSE)))</formula>
    </cfRule>
    <cfRule type="expression" dxfId="3424" priority="121">
      <formula>AND(COUNT(F7:F10)&lt;2,IF(COUNT(D7:D10)=2,IF(AND(ISNUMBER(D7),COUNTIF(D7:D10,D7)=1,D7=MIN(D7:D10)),TRUE,FALSE)))</formula>
    </cfRule>
  </conditionalFormatting>
  <conditionalFormatting sqref="F8">
    <cfRule type="expression" dxfId="3423" priority="116">
      <formula>AND(COUNT(F7:F10)&lt;2,IF(COUNT(E7:E10)=2,IF(AND(ISNUMBER(E8),COUNTIF(E7:E10,E8)=1,E8=MAX(E7:E10)),TRUE,FALSE)))</formula>
    </cfRule>
    <cfRule type="expression" dxfId="3422" priority="120">
      <formula>AND(COUNT(F7:F10)&lt;2,IF(COUNT(D7:D10)=2,IF(AND(ISNUMBER(D8),COUNTIF(D7:D10,D8)=1,D8=MIN(D7:D10)),TRUE,FALSE)))</formula>
    </cfRule>
  </conditionalFormatting>
  <conditionalFormatting sqref="F9">
    <cfRule type="expression" dxfId="3421" priority="115">
      <formula>AND(COUNT(F7:F10)&lt;2,IF(COUNT(E7:E10)=2,IF(AND(ISNUMBER(E9),COUNTIF(E7:E10,E9)=1,E9=MAX(E7:E10)),TRUE,FALSE)))</formula>
    </cfRule>
    <cfRule type="expression" dxfId="3420" priority="119">
      <formula>AND(COUNT(F7:F10)&lt;2,IF(COUNT(D7:D10)=2,IF(AND(ISNUMBER(D9),COUNTIF(D7:D10,D9)=1,D9=MIN(D7:D10)),TRUE,FALSE)))</formula>
    </cfRule>
  </conditionalFormatting>
  <conditionalFormatting sqref="F10">
    <cfRule type="expression" dxfId="3419" priority="114">
      <formula>AND(COUNT(F7:F10)&lt;2,IF(COUNT(E7:E10)=2,IF(AND(ISNUMBER(E10),COUNTIF(E7:E10,E10)=1,E10=MAX(E7:E10)),TRUE,FALSE)))</formula>
    </cfRule>
    <cfRule type="expression" dxfId="3418" priority="118">
      <formula>AND(COUNT(F7:F10)&lt;2,IF(COUNT(D7:D10)=2,IF(AND(ISNUMBER(D10),COUNTIF(D7:D10,D10)=1,D10=MIN(D7:D10)),TRUE,FALSE)))</formula>
    </cfRule>
  </conditionalFormatting>
  <conditionalFormatting sqref="F7:F10">
    <cfRule type="aboveAverage" dxfId="3417" priority="113"/>
  </conditionalFormatting>
  <conditionalFormatting sqref="D7">
    <cfRule type="expression" dxfId="3416" priority="112">
      <formula>AND(COUNT(D7:D10)&lt;2,IF(ISNUMBER(C10),C7&gt;C10))</formula>
    </cfRule>
  </conditionalFormatting>
  <conditionalFormatting sqref="D8">
    <cfRule type="expression" dxfId="3415" priority="111">
      <formula>AND(COUNT(D7:D10)&lt;2,IF(ISNUMBER(C9),C8&gt;C9))</formula>
    </cfRule>
  </conditionalFormatting>
  <conditionalFormatting sqref="D9">
    <cfRule type="expression" dxfId="3414" priority="110">
      <formula>AND(COUNT(D7:D10)&lt;2,IF(ISNUMBER(C8),C9&gt;C8))</formula>
    </cfRule>
  </conditionalFormatting>
  <conditionalFormatting sqref="D10">
    <cfRule type="expression" dxfId="3413" priority="109">
      <formula>AND(COUNT(D7:D10)&lt;2,IF(ISNUMBER(C7),C10&gt;C7))</formula>
    </cfRule>
  </conditionalFormatting>
  <conditionalFormatting sqref="D7:D10">
    <cfRule type="aboveAverage" dxfId="3412" priority="108"/>
  </conditionalFormatting>
  <conditionalFormatting sqref="E16">
    <cfRule type="expression" dxfId="3411" priority="107">
      <formula>AND(COUNT(E13:E16)&lt;2,IF(ISNUMBER(C16),C13&gt;C16))</formula>
    </cfRule>
  </conditionalFormatting>
  <conditionalFormatting sqref="E13">
    <cfRule type="expression" dxfId="3410" priority="106">
      <formula>AND(COUNT(E13:E16)&lt;2,IF(ISNUMBER(C13),C16&gt;C13))</formula>
    </cfRule>
  </conditionalFormatting>
  <conditionalFormatting sqref="E14">
    <cfRule type="expression" dxfId="3409" priority="105">
      <formula>AND(COUNT(E13:E16)&lt;2,IF(ISNUMBER(C14),C15&gt;C14))</formula>
    </cfRule>
  </conditionalFormatting>
  <conditionalFormatting sqref="E15">
    <cfRule type="expression" dxfId="3408" priority="104">
      <formula>AND(COUNT(E13:E16)&lt;2,IF(ISNUMBER(C15),C14&gt;C15))</formula>
    </cfRule>
  </conditionalFormatting>
  <conditionalFormatting sqref="E13:E16">
    <cfRule type="aboveAverage" dxfId="3407" priority="103"/>
  </conditionalFormatting>
  <conditionalFormatting sqref="F13">
    <cfRule type="expression" dxfId="3406" priority="98">
      <formula>AND(COUNT(F13:F16)&lt;2,IF(COUNT(E13:E16)=2,IF(AND(ISNUMBER(E13),COUNTIF(E13:E16,E13)=1,E13=MAX(E13:E16)),TRUE,FALSE)))</formula>
    </cfRule>
    <cfRule type="expression" dxfId="3405" priority="102">
      <formula>AND(COUNT(F13:F16)&lt;2,IF(COUNT(D13:D16)=2,IF(AND(ISNUMBER(D13),COUNTIF(D13:D16,D13)=1,D13=MIN(D13:D16)),TRUE,FALSE)))</formula>
    </cfRule>
  </conditionalFormatting>
  <conditionalFormatting sqref="F14">
    <cfRule type="expression" dxfId="3404" priority="97">
      <formula>AND(COUNT(F13:F16)&lt;2,IF(COUNT(E13:E16)=2,IF(AND(ISNUMBER(E14),COUNTIF(E13:E16,E14)=1,E14=MAX(E13:E16)),TRUE,FALSE)))</formula>
    </cfRule>
    <cfRule type="expression" dxfId="3403" priority="101">
      <formula>AND(COUNT(F13:F16)&lt;2,IF(COUNT(D13:D16)=2,IF(AND(ISNUMBER(D14),COUNTIF(D13:D16,D14)=1,D14=MIN(D13:D16)),TRUE,FALSE)))</formula>
    </cfRule>
  </conditionalFormatting>
  <conditionalFormatting sqref="F15">
    <cfRule type="expression" dxfId="3402" priority="96">
      <formula>AND(COUNT(F13:F16)&lt;2,IF(COUNT(E13:E16)=2,IF(AND(ISNUMBER(E15),COUNTIF(E13:E16,E15)=1,E15=MAX(E13:E16)),TRUE,FALSE)))</formula>
    </cfRule>
    <cfRule type="expression" dxfId="3401" priority="100">
      <formula>AND(COUNT(F13:F16)&lt;2,IF(COUNT(D13:D16)=2,IF(AND(ISNUMBER(D15),COUNTIF(D13:D16,D15)=1,D15=MIN(D13:D16)),TRUE,FALSE)))</formula>
    </cfRule>
  </conditionalFormatting>
  <conditionalFormatting sqref="F16">
    <cfRule type="expression" dxfId="3400" priority="95">
      <formula>AND(COUNT(F13:F16)&lt;2,IF(COUNT(E13:E16)=2,IF(AND(ISNUMBER(E16),COUNTIF(E13:E16,E16)=1,E16=MAX(E13:E16)),TRUE,FALSE)))</formula>
    </cfRule>
    <cfRule type="expression" dxfId="3399" priority="99">
      <formula>AND(COUNT(F13:F16)&lt;2,IF(COUNT(D13:D16)=2,IF(AND(ISNUMBER(D16),COUNTIF(D13:D16,D16)=1,D16=MIN(D13:D16)),TRUE,FALSE)))</formula>
    </cfRule>
  </conditionalFormatting>
  <conditionalFormatting sqref="F13:F16">
    <cfRule type="aboveAverage" dxfId="3398" priority="94"/>
  </conditionalFormatting>
  <conditionalFormatting sqref="D13">
    <cfRule type="expression" dxfId="3397" priority="93">
      <formula>AND(COUNT(D13:D16)&lt;2,IF(ISNUMBER(C16),C13&gt;C16))</formula>
    </cfRule>
  </conditionalFormatting>
  <conditionalFormatting sqref="D14">
    <cfRule type="expression" dxfId="3396" priority="92">
      <formula>AND(COUNT(D13:D16)&lt;2,IF(ISNUMBER(C15),C14&gt;C15))</formula>
    </cfRule>
  </conditionalFormatting>
  <conditionalFormatting sqref="D15">
    <cfRule type="expression" dxfId="3395" priority="91">
      <formula>AND(COUNT(D13:D16)&lt;2,IF(ISNUMBER(C14),C15&gt;C14))</formula>
    </cfRule>
  </conditionalFormatting>
  <conditionalFormatting sqref="D16">
    <cfRule type="expression" dxfId="3394" priority="90">
      <formula>AND(COUNT(D13:D16)&lt;2,IF(ISNUMBER(C13),C16&gt;C13))</formula>
    </cfRule>
  </conditionalFormatting>
  <conditionalFormatting sqref="D13:D16">
    <cfRule type="aboveAverage" dxfId="3393" priority="89"/>
  </conditionalFormatting>
  <conditionalFormatting sqref="E22">
    <cfRule type="expression" dxfId="3392" priority="88">
      <formula>AND(COUNT(E19:E22)&lt;2,IF(ISNUMBER(C22),C19&gt;C22))</formula>
    </cfRule>
  </conditionalFormatting>
  <conditionalFormatting sqref="E19">
    <cfRule type="expression" dxfId="3391" priority="87">
      <formula>AND(COUNT(E19:E22)&lt;2,IF(ISNUMBER(C19),C22&gt;C19))</formula>
    </cfRule>
  </conditionalFormatting>
  <conditionalFormatting sqref="E20">
    <cfRule type="expression" dxfId="3390" priority="86">
      <formula>AND(COUNT(E19:E22)&lt;2,IF(ISNUMBER(C20),C21&gt;C20))</formula>
    </cfRule>
  </conditionalFormatting>
  <conditionalFormatting sqref="E21">
    <cfRule type="expression" dxfId="3389" priority="85">
      <formula>AND(COUNT(E19:E22)&lt;2,IF(ISNUMBER(C21),C20&gt;C21))</formula>
    </cfRule>
  </conditionalFormatting>
  <conditionalFormatting sqref="E19:E22">
    <cfRule type="aboveAverage" dxfId="3388" priority="84"/>
  </conditionalFormatting>
  <conditionalFormatting sqref="F19">
    <cfRule type="expression" dxfId="3387" priority="79">
      <formula>AND(COUNT(F19:F22)&lt;2,IF(COUNT(E19:E22)=2,IF(AND(ISNUMBER(E19),COUNTIF(E19:E22,E19)=1,E19=MAX(E19:E22)),TRUE,FALSE)))</formula>
    </cfRule>
    <cfRule type="expression" dxfId="3386" priority="83">
      <formula>AND(COUNT(F19:F22)&lt;2,IF(COUNT(D19:D22)=2,IF(AND(ISNUMBER(D19),COUNTIF(D19:D22,D19)=1,D19=MIN(D19:D22)),TRUE,FALSE)))</formula>
    </cfRule>
  </conditionalFormatting>
  <conditionalFormatting sqref="F20">
    <cfRule type="expression" dxfId="3385" priority="78">
      <formula>AND(COUNT(F19:F22)&lt;2,IF(COUNT(E19:E22)=2,IF(AND(ISNUMBER(E20),COUNTIF(E19:E22,E20)=1,E20=MAX(E19:E22)),TRUE,FALSE)))</formula>
    </cfRule>
    <cfRule type="expression" dxfId="3384" priority="82">
      <formula>AND(COUNT(F19:F22)&lt;2,IF(COUNT(D19:D22)=2,IF(AND(ISNUMBER(D20),COUNTIF(D19:D22,D20)=1,D20=MIN(D19:D22)),TRUE,FALSE)))</formula>
    </cfRule>
  </conditionalFormatting>
  <conditionalFormatting sqref="F21">
    <cfRule type="expression" dxfId="3383" priority="77">
      <formula>AND(COUNT(F19:F22)&lt;2,IF(COUNT(E19:E22)=2,IF(AND(ISNUMBER(E21),COUNTIF(E19:E22,E21)=1,E21=MAX(E19:E22)),TRUE,FALSE)))</formula>
    </cfRule>
    <cfRule type="expression" dxfId="3382" priority="81">
      <formula>AND(COUNT(F19:F22)&lt;2,IF(COUNT(D19:D22)=2,IF(AND(ISNUMBER(D21),COUNTIF(D19:D22,D21)=1,D21=MIN(D19:D22)),TRUE,FALSE)))</formula>
    </cfRule>
  </conditionalFormatting>
  <conditionalFormatting sqref="F22">
    <cfRule type="expression" dxfId="3381" priority="76">
      <formula>AND(COUNT(F19:F22)&lt;2,IF(COUNT(E19:E22)=2,IF(AND(ISNUMBER(E22),COUNTIF(E19:E22,E22)=1,E22=MAX(E19:E22)),TRUE,FALSE)))</formula>
    </cfRule>
    <cfRule type="expression" dxfId="3380" priority="80">
      <formula>AND(COUNT(F19:F22)&lt;2,IF(COUNT(D19:D22)=2,IF(AND(ISNUMBER(D22),COUNTIF(D19:D22,D22)=1,D22=MIN(D19:D22)),TRUE,FALSE)))</formula>
    </cfRule>
  </conditionalFormatting>
  <conditionalFormatting sqref="F19:F22">
    <cfRule type="aboveAverage" dxfId="3379" priority="75"/>
  </conditionalFormatting>
  <conditionalFormatting sqref="D19">
    <cfRule type="expression" dxfId="3378" priority="74">
      <formula>AND(COUNT(D19:D22)&lt;2,IF(ISNUMBER(C22),C19&gt;C22))</formula>
    </cfRule>
  </conditionalFormatting>
  <conditionalFormatting sqref="D20">
    <cfRule type="expression" dxfId="3377" priority="73">
      <formula>AND(COUNT(D19:D22)&lt;2,IF(ISNUMBER(C21),C20&gt;C21))</formula>
    </cfRule>
  </conditionalFormatting>
  <conditionalFormatting sqref="D21">
    <cfRule type="expression" dxfId="3376" priority="72">
      <formula>AND(COUNT(D19:D22)&lt;2,IF(ISNUMBER(C20),C21&gt;C20))</formula>
    </cfRule>
  </conditionalFormatting>
  <conditionalFormatting sqref="D22">
    <cfRule type="expression" dxfId="3375" priority="71">
      <formula>AND(COUNT(D19:D22)&lt;2,IF(ISNUMBER(C19),C22&gt;C19))</formula>
    </cfRule>
  </conditionalFormatting>
  <conditionalFormatting sqref="D19:D22">
    <cfRule type="aboveAverage" dxfId="3374" priority="70"/>
  </conditionalFormatting>
  <conditionalFormatting sqref="E28">
    <cfRule type="expression" dxfId="3373" priority="69">
      <formula>AND(COUNT(E25:E28)&lt;2,IF(ISNUMBER(C28),C25&gt;C28))</formula>
    </cfRule>
  </conditionalFormatting>
  <conditionalFormatting sqref="E25">
    <cfRule type="expression" dxfId="3372" priority="68">
      <formula>AND(COUNT(E25:E28)&lt;2,IF(ISNUMBER(C25),C28&gt;C25))</formula>
    </cfRule>
  </conditionalFormatting>
  <conditionalFormatting sqref="E26">
    <cfRule type="expression" dxfId="3371" priority="67">
      <formula>AND(COUNT(E25:E28)&lt;2,IF(ISNUMBER(C26),C27&gt;C26))</formula>
    </cfRule>
  </conditionalFormatting>
  <conditionalFormatting sqref="E27">
    <cfRule type="expression" dxfId="3370" priority="66">
      <formula>AND(COUNT(E25:E28)&lt;2,IF(ISNUMBER(C27),C26&gt;C27))</formula>
    </cfRule>
  </conditionalFormatting>
  <conditionalFormatting sqref="E25:E28">
    <cfRule type="aboveAverage" dxfId="3369" priority="65"/>
  </conditionalFormatting>
  <conditionalFormatting sqref="F25">
    <cfRule type="expression" dxfId="3368" priority="60">
      <formula>AND(COUNT(F25:F28)&lt;2,IF(COUNT(E25:E28)=2,IF(AND(ISNUMBER(E25),COUNTIF(E25:E28,E25)=1,E25=MAX(E25:E28)),TRUE,FALSE)))</formula>
    </cfRule>
    <cfRule type="expression" dxfId="3367" priority="64">
      <formula>AND(COUNT(F25:F28)&lt;2,IF(COUNT(D25:D28)=2,IF(AND(ISNUMBER(D25),COUNTIF(D25:D28,D25)=1,D25=MIN(D25:D28)),TRUE,FALSE)))</formula>
    </cfRule>
  </conditionalFormatting>
  <conditionalFormatting sqref="F26">
    <cfRule type="expression" dxfId="3366" priority="59">
      <formula>AND(COUNT(F25:F28)&lt;2,IF(COUNT(E25:E28)=2,IF(AND(ISNUMBER(E26),COUNTIF(E25:E28,E26)=1,E26=MAX(E25:E28)),TRUE,FALSE)))</formula>
    </cfRule>
    <cfRule type="expression" dxfId="3365" priority="63">
      <formula>AND(COUNT(F25:F28)&lt;2,IF(COUNT(D25:D28)=2,IF(AND(ISNUMBER(D26),COUNTIF(D25:D28,D26)=1,D26=MIN(D25:D28)),TRUE,FALSE)))</formula>
    </cfRule>
  </conditionalFormatting>
  <conditionalFormatting sqref="F27">
    <cfRule type="expression" dxfId="3364" priority="58">
      <formula>AND(COUNT(F25:F28)&lt;2,IF(COUNT(E25:E28)=2,IF(AND(ISNUMBER(E27),COUNTIF(E25:E28,E27)=1,E27=MAX(E25:E28)),TRUE,FALSE)))</formula>
    </cfRule>
    <cfRule type="expression" dxfId="3363" priority="62">
      <formula>AND(COUNT(F25:F28)&lt;2,IF(COUNT(D25:D28)=2,IF(AND(ISNUMBER(D27),COUNTIF(D25:D28,D27)=1,D27=MIN(D25:D28)),TRUE,FALSE)))</formula>
    </cfRule>
  </conditionalFormatting>
  <conditionalFormatting sqref="F28">
    <cfRule type="expression" dxfId="3362" priority="57">
      <formula>AND(COUNT(F25:F28)&lt;2,IF(COUNT(E25:E28)=2,IF(AND(ISNUMBER(E28),COUNTIF(E25:E28,E28)=1,E28=MAX(E25:E28)),TRUE,FALSE)))</formula>
    </cfRule>
    <cfRule type="expression" dxfId="3361" priority="61">
      <formula>AND(COUNT(F25:F28)&lt;2,IF(COUNT(D25:D28)=2,IF(AND(ISNUMBER(D28),COUNTIF(D25:D28,D28)=1,D28=MIN(D25:D28)),TRUE,FALSE)))</formula>
    </cfRule>
  </conditionalFormatting>
  <conditionalFormatting sqref="F25:F28">
    <cfRule type="aboveAverage" dxfId="3360" priority="56"/>
  </conditionalFormatting>
  <conditionalFormatting sqref="D25">
    <cfRule type="expression" dxfId="3359" priority="55">
      <formula>AND(COUNT(D25:D28)&lt;2,IF(ISNUMBER(C28),C25&gt;C28))</formula>
    </cfRule>
  </conditionalFormatting>
  <conditionalFormatting sqref="D26">
    <cfRule type="expression" dxfId="3358" priority="54">
      <formula>AND(COUNT(D25:D28)&lt;2,IF(ISNUMBER(C27),C26&gt;C27))</formula>
    </cfRule>
  </conditionalFormatting>
  <conditionalFormatting sqref="D27">
    <cfRule type="expression" dxfId="3357" priority="53">
      <formula>AND(COUNT(D25:D28)&lt;2,IF(ISNUMBER(C26),C27&gt;C26))</formula>
    </cfRule>
  </conditionalFormatting>
  <conditionalFormatting sqref="D28">
    <cfRule type="expression" dxfId="3356" priority="52">
      <formula>AND(COUNT(D25:D28)&lt;2,IF(ISNUMBER(C25),C28&gt;C25))</formula>
    </cfRule>
  </conditionalFormatting>
  <conditionalFormatting sqref="D25:D28">
    <cfRule type="aboveAverage" dxfId="3355" priority="51"/>
  </conditionalFormatting>
  <conditionalFormatting sqref="A32:A46">
    <cfRule type="cellIs" dxfId="3354" priority="33" operator="equal">
      <formula>"-"</formula>
    </cfRule>
    <cfRule type="duplicateValues" dxfId="3353" priority="48"/>
  </conditionalFormatting>
  <conditionalFormatting sqref="G54 G58">
    <cfRule type="aboveAverage" dxfId="3352" priority="45"/>
  </conditionalFormatting>
  <conditionalFormatting sqref="G54 G58">
    <cfRule type="containsBlanks" dxfId="3351" priority="43">
      <formula>LEN(TRIM(G54))=0</formula>
    </cfRule>
  </conditionalFormatting>
  <conditionalFormatting sqref="C36 C38">
    <cfRule type="aboveAverage" dxfId="3350" priority="41"/>
  </conditionalFormatting>
  <conditionalFormatting sqref="E33 E37">
    <cfRule type="aboveAverage" dxfId="3349" priority="40"/>
  </conditionalFormatting>
  <conditionalFormatting sqref="C40 C42">
    <cfRule type="aboveAverage" dxfId="3348" priority="39"/>
  </conditionalFormatting>
  <conditionalFormatting sqref="E41 E45">
    <cfRule type="aboveAverage" dxfId="3347" priority="37"/>
  </conditionalFormatting>
  <conditionalFormatting sqref="G35 G43">
    <cfRule type="aboveAverage" dxfId="3346" priority="36"/>
  </conditionalFormatting>
  <conditionalFormatting sqref="G47 G49">
    <cfRule type="aboveAverage" dxfId="3345" priority="35"/>
  </conditionalFormatting>
  <conditionalFormatting sqref="C36 C38 C40 C42 E33 E37 E41 E45 G35 G43 G47 G49">
    <cfRule type="containsBlanks" dxfId="3344" priority="34">
      <formula>LEN(TRIM(C33))=0</formula>
    </cfRule>
  </conditionalFormatting>
  <conditionalFormatting sqref="B300:B309">
    <cfRule type="containsBlanks" dxfId="3343" priority="2590">
      <formula>LEN(TRIM(B300))=0</formula>
    </cfRule>
    <cfRule type="duplicateValues" dxfId="3342" priority="2591"/>
  </conditionalFormatting>
  <conditionalFormatting sqref="C32 C34">
    <cfRule type="aboveAverage" dxfId="3341" priority="28"/>
  </conditionalFormatting>
  <conditionalFormatting sqref="C32 C34">
    <cfRule type="containsBlanks" dxfId="3340" priority="27">
      <formula>LEN(TRIM(C32))=0</formula>
    </cfRule>
  </conditionalFormatting>
  <conditionalFormatting sqref="C82 C84">
    <cfRule type="containsBlanks" dxfId="3339" priority="1">
      <formula>LEN(TRIM(C82))=0</formula>
    </cfRule>
  </conditionalFormatting>
  <conditionalFormatting sqref="C44 C46">
    <cfRule type="aboveAverage" dxfId="3338" priority="26"/>
  </conditionalFormatting>
  <conditionalFormatting sqref="C44 C46">
    <cfRule type="containsBlanks" dxfId="3337" priority="25">
      <formula>LEN(TRIM(C44))=0</formula>
    </cfRule>
  </conditionalFormatting>
  <conditionalFormatting sqref="E53 E55">
    <cfRule type="aboveAverage" dxfId="3336" priority="24"/>
  </conditionalFormatting>
  <conditionalFormatting sqref="E57 E59">
    <cfRule type="aboveAverage" dxfId="3335" priority="23"/>
  </conditionalFormatting>
  <conditionalFormatting sqref="E53 E55 E57 E59">
    <cfRule type="containsBlanks" dxfId="3334" priority="22">
      <formula>LEN(TRIM(E53))=0</formula>
    </cfRule>
  </conditionalFormatting>
  <conditionalFormatting sqref="G61 G63">
    <cfRule type="aboveAverage" dxfId="3333" priority="21"/>
  </conditionalFormatting>
  <conditionalFormatting sqref="G61 G63">
    <cfRule type="containsBlanks" dxfId="3332" priority="20">
      <formula>LEN(TRIM(G61))=0</formula>
    </cfRule>
  </conditionalFormatting>
  <conditionalFormatting sqref="A70:A84">
    <cfRule type="cellIs" dxfId="3331" priority="9" operator="equal">
      <formula>"-"</formula>
    </cfRule>
    <cfRule type="duplicateValues" dxfId="3330" priority="19"/>
  </conditionalFormatting>
  <conditionalFormatting sqref="E71 E75">
    <cfRule type="aboveAverage" dxfId="3329" priority="16"/>
  </conditionalFormatting>
  <conditionalFormatting sqref="E79 E83">
    <cfRule type="aboveAverage" dxfId="3328" priority="13"/>
  </conditionalFormatting>
  <conditionalFormatting sqref="G73 G81">
    <cfRule type="aboveAverage" dxfId="3327" priority="12"/>
  </conditionalFormatting>
  <conditionalFormatting sqref="G85 G87">
    <cfRule type="aboveAverage" dxfId="3326" priority="11"/>
  </conditionalFormatting>
  <conditionalFormatting sqref="E71 E75 E79 E83 G73 G81 G85 G87">
    <cfRule type="containsBlanks" dxfId="3325" priority="10">
      <formula>LEN(TRIM(E71))=0</formula>
    </cfRule>
  </conditionalFormatting>
  <conditionalFormatting sqref="C70 C72">
    <cfRule type="aboveAverage" dxfId="3324" priority="8"/>
  </conditionalFormatting>
  <conditionalFormatting sqref="C70 C72">
    <cfRule type="containsBlanks" dxfId="3323" priority="7">
      <formula>LEN(TRIM(C70))=0</formula>
    </cfRule>
  </conditionalFormatting>
  <conditionalFormatting sqref="C74 C76">
    <cfRule type="aboveAverage" dxfId="3322" priority="6"/>
  </conditionalFormatting>
  <conditionalFormatting sqref="C74 C76">
    <cfRule type="containsBlanks" dxfId="3321" priority="5">
      <formula>LEN(TRIM(C74))=0</formula>
    </cfRule>
  </conditionalFormatting>
  <conditionalFormatting sqref="C78 C80">
    <cfRule type="aboveAverage" dxfId="3320" priority="4"/>
  </conditionalFormatting>
  <conditionalFormatting sqref="C78 C80">
    <cfRule type="containsBlanks" dxfId="3319" priority="3">
      <formula>LEN(TRIM(C78))=0</formula>
    </cfRule>
  </conditionalFormatting>
  <conditionalFormatting sqref="C82 C84">
    <cfRule type="aboveAverage" dxfId="3318" priority="2"/>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rowBreaks count="2" manualBreakCount="2">
    <brk id="28" max="16383" man="1"/>
    <brk id="66"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B303"/>
  <sheetViews>
    <sheetView showGridLines="0" showRowColHeaders="0" zoomScaleNormal="100" workbookViewId="0">
      <pane ySplit="2" topLeftCell="A3" activePane="bottomLeft" state="frozen"/>
      <selection activeCell="K1" sqref="K1"/>
      <selection pane="bottomLeft" activeCell="H1" sqref="H1"/>
    </sheetView>
  </sheetViews>
  <sheetFormatPr defaultRowHeight="12.75" x14ac:dyDescent="0.2"/>
  <cols>
    <col min="1" max="1" width="5.5703125" style="277" customWidth="1"/>
    <col min="2" max="2" width="42.140625" style="277" bestFit="1" customWidth="1"/>
    <col min="3" max="9" width="6.7109375" style="277" customWidth="1"/>
    <col min="10" max="10" width="4.5703125" style="277" hidden="1" customWidth="1"/>
    <col min="11" max="11" width="2.28515625" style="277" hidden="1" customWidth="1"/>
    <col min="12" max="12" width="3.5703125" style="277" hidden="1" customWidth="1"/>
    <col min="13" max="13" width="6" style="277" hidden="1" customWidth="1"/>
    <col min="14" max="14" width="4.28515625" style="277" customWidth="1"/>
    <col min="15" max="15" width="5.5703125" style="277" customWidth="1"/>
    <col min="16" max="16" width="8.5703125" style="277" bestFit="1" customWidth="1"/>
    <col min="17" max="17" width="9.140625" style="277"/>
    <col min="18" max="18" width="7.7109375" style="277" hidden="1" customWidth="1"/>
    <col min="19" max="19" width="14" style="277" hidden="1" customWidth="1"/>
    <col min="20" max="20" width="6" style="277" hidden="1" customWidth="1"/>
    <col min="21" max="21" width="17.28515625" style="277" hidden="1" customWidth="1"/>
    <col min="22" max="22" width="6" style="277" hidden="1" customWidth="1"/>
    <col min="23" max="23" width="18.7109375" style="277" hidden="1" customWidth="1"/>
    <col min="24" max="24" width="6" style="277" hidden="1" customWidth="1"/>
    <col min="25" max="25" width="17.28515625" style="277" hidden="1" customWidth="1"/>
    <col min="26" max="26" width="6" style="277" hidden="1" customWidth="1"/>
    <col min="27" max="27" width="13.85546875" style="277" hidden="1" customWidth="1"/>
    <col min="28" max="28" width="6" style="277" hidden="1" customWidth="1"/>
    <col min="29" max="16384" width="9.140625" style="277"/>
  </cols>
  <sheetData>
    <row r="1" spans="1:28" x14ac:dyDescent="0.2">
      <c r="A1" s="31" t="str">
        <f>UPPER((Kalend!E6)&amp;" - "&amp;(Kalend!C6)&amp;" - "&amp;(Kalend!D6))</f>
        <v>1 - K-JÄRVE 17. KV 1. ETAPP - TRIO</v>
      </c>
      <c r="D1" s="495" t="str">
        <f>HYPERLINK("#'Kalend'!I1","Kalender")</f>
        <v>Kalender</v>
      </c>
      <c r="F1" s="495" t="str">
        <f>HYPERLINK("#'Reit'!T1","Reiting")</f>
        <v>Reiting</v>
      </c>
      <c r="G1" s="55"/>
      <c r="J1" s="169" t="s">
        <v>180</v>
      </c>
      <c r="L1" s="496"/>
      <c r="M1" s="497"/>
      <c r="R1" s="169" t="s">
        <v>180</v>
      </c>
      <c r="S1" s="597"/>
      <c r="T1" s="597"/>
      <c r="U1" s="597"/>
      <c r="V1" s="597"/>
      <c r="W1" s="597"/>
      <c r="X1" s="597"/>
      <c r="Y1" s="597"/>
      <c r="Z1" s="597"/>
      <c r="AA1" s="597"/>
      <c r="AB1" s="597"/>
    </row>
    <row r="2" spans="1:28" x14ac:dyDescent="0.2">
      <c r="A2" s="2" t="str">
        <f>"Toimumisaeg: "&amp;(Kalend!A6)&amp;" kell "&amp;(Kalend!B6)</f>
        <v>Toimumisaeg: N, 03.05.2018 kell 18:00</v>
      </c>
      <c r="R2" s="32"/>
      <c r="S2" s="32"/>
      <c r="T2" s="32"/>
      <c r="U2" s="32"/>
      <c r="V2" s="32"/>
      <c r="W2" s="188"/>
      <c r="X2" s="32"/>
      <c r="Y2" s="32"/>
      <c r="Z2" s="32"/>
      <c r="AA2" s="32"/>
      <c r="AB2" s="32"/>
    </row>
    <row r="3" spans="1:28" x14ac:dyDescent="0.2">
      <c r="A3" s="2" t="str">
        <f>"Toimumiskoht: "&amp;(Kalend!F6)</f>
        <v>Toimumiskoht: K-Järve spordihoone</v>
      </c>
      <c r="N3"/>
      <c r="R3" s="32"/>
      <c r="S3" s="598" t="s">
        <v>357</v>
      </c>
      <c r="T3" s="32"/>
      <c r="U3" s="32"/>
      <c r="V3" s="32"/>
      <c r="W3" s="32"/>
      <c r="X3" s="32"/>
      <c r="Y3" s="32"/>
      <c r="Z3" s="32"/>
      <c r="AA3" s="32"/>
      <c r="AB3" s="32"/>
    </row>
    <row r="4" spans="1:28" x14ac:dyDescent="0.2">
      <c r="A4" s="2" t="str">
        <f>"Korraldaja: "&amp;(Kalend!G6)</f>
        <v>Korraldaja: K-Järve SHK, Ivar Viljaste</v>
      </c>
      <c r="N4" s="498"/>
      <c r="R4" s="599" t="s">
        <v>226</v>
      </c>
      <c r="S4" s="600"/>
      <c r="T4" s="600"/>
      <c r="U4" s="600"/>
      <c r="V4" s="600"/>
      <c r="W4" s="600"/>
      <c r="X4" s="600"/>
      <c r="Y4" s="600"/>
      <c r="Z4" s="600"/>
      <c r="AA4" s="600"/>
      <c r="AB4" s="600"/>
    </row>
    <row r="5" spans="1:28" x14ac:dyDescent="0.2">
      <c r="N5"/>
      <c r="R5" s="599" t="s">
        <v>358</v>
      </c>
      <c r="S5" s="601" t="s">
        <v>359</v>
      </c>
      <c r="T5" s="601"/>
      <c r="U5" s="601" t="s">
        <v>361</v>
      </c>
      <c r="V5" s="601"/>
      <c r="W5" s="601" t="s">
        <v>362</v>
      </c>
      <c r="X5" s="499"/>
      <c r="Y5" s="499" t="s">
        <v>430</v>
      </c>
      <c r="Z5" s="499"/>
      <c r="AA5" s="499" t="s">
        <v>431</v>
      </c>
      <c r="AB5" s="602"/>
    </row>
    <row r="6" spans="1:28" s="506" customFormat="1" x14ac:dyDescent="0.2">
      <c r="A6" s="500"/>
      <c r="B6" s="501"/>
      <c r="C6" s="502">
        <v>1</v>
      </c>
      <c r="D6" s="502">
        <v>2</v>
      </c>
      <c r="E6" s="502">
        <v>3</v>
      </c>
      <c r="F6" s="502">
        <v>4</v>
      </c>
      <c r="G6" s="502"/>
      <c r="H6" s="502" t="s">
        <v>363</v>
      </c>
      <c r="I6" s="501" t="s">
        <v>26</v>
      </c>
      <c r="J6" s="503" t="s">
        <v>156</v>
      </c>
      <c r="K6" s="504" t="s">
        <v>156</v>
      </c>
      <c r="L6" s="505" t="s">
        <v>364</v>
      </c>
      <c r="M6" s="506" t="b">
        <f>OR(AND(COUNTA(B7:B11)=3,COUNTA(C7:G11)=6),AND(COUNTA(B7:B11)=4,COUNTA(C7:G11)=12),AND(COUNTA(B7:B11)=5,COUNTA(C7:G11)=20))</f>
        <v>1</v>
      </c>
      <c r="N6" s="498"/>
      <c r="O6" s="498"/>
      <c r="P6" s="498"/>
      <c r="Q6" s="277"/>
      <c r="R6" s="599" t="s">
        <v>365</v>
      </c>
      <c r="S6" s="600"/>
      <c r="T6" s="600"/>
      <c r="U6" s="507"/>
      <c r="V6" s="507"/>
      <c r="W6" s="507"/>
      <c r="X6" s="507"/>
      <c r="Y6" s="507"/>
      <c r="Z6" s="507"/>
      <c r="AA6" s="507"/>
      <c r="AB6" s="507"/>
    </row>
    <row r="7" spans="1:28" s="506" customFormat="1" x14ac:dyDescent="0.2">
      <c r="A7" s="500">
        <v>1</v>
      </c>
      <c r="B7" s="508" t="s">
        <v>432</v>
      </c>
      <c r="C7" s="509"/>
      <c r="D7" s="510">
        <v>13</v>
      </c>
      <c r="E7" s="510">
        <v>13</v>
      </c>
      <c r="F7" s="510">
        <v>11</v>
      </c>
      <c r="G7" s="510"/>
      <c r="H7" s="511" t="str">
        <f>(IF(D7-C8&gt;0,1)+IF(E7-C9&gt;0,1)+IF(F7-C10&gt;0,1)+IF(G7-C11&gt;0,1))&amp;"-"&amp;(IF(D7-C8&lt;0,1)+IF(E7-C9&lt;0,1)+IF(F7-C10&lt;0,1)+IF(G7-C11&lt;0,1))</f>
        <v>2-1</v>
      </c>
      <c r="I7" s="510" t="str">
        <f>IF(AND(B7&lt;&gt;"",M$6=TRUE),A$6&amp;RANK(M7,M$7:M$11,0),"")</f>
        <v>2</v>
      </c>
      <c r="J7" s="512">
        <f>VALUE(LEFT(H7,1))</f>
        <v>2</v>
      </c>
      <c r="K7" s="513">
        <f>IF(AND(J7=1,J8=1,D7&gt;C8),1)+IF(AND(J7=1,J9=1,E7&gt;C9),1)+IF(AND(J7=1,J10=1,F7&gt;C10),1)+IF(AND(J7=1,J11=1,G7&gt;C11),1)+IF(AND(J7=2,J8=2,D7&gt;C8),1)+IF(AND(J7=2,J9=2,E7&gt;C9),1)+IF(AND(J7=2,J10=2,F7&gt;C10),1)+IF(AND(J7=2,J11=2,G7&gt;C11),1)+IF(AND(J7=3,J8=3,D7&gt;C8),1)+IF(AND(J7=3,J9=3,E7&gt;C9),1)+IF(AND(J7=3,J10=3,F7&gt;C10),1)+IF(AND(J7=3,J11=3,G7&gt;C11),1)</f>
        <v>0</v>
      </c>
      <c r="L7" s="514">
        <f>IF(AND(J7=1,J8=1),D7-C8)+IF(AND(J7=1,J9=1),E7-C9)+IF(AND(J7=1,J10=1),F7-C10)+IF(AND(J7=1,J11=1),G7-C11)+IF(AND(J7=2,J8=2),D7-C8)+IF(AND(J7=2,J9=2),E7-C9)+IF(AND(J7=2,J10=2),F7-C10)+IF(AND(J7=2,J11=2),G7-C11)+IF(AND(J7=3,J8=3),D7-C8)+IF(AND(J7=3,J9=3),E7-C9)+IF(AND(J7=3,J10=3),F7-C10)+IF(AND(J7=3,J11=3),G7-C11)</f>
        <v>0</v>
      </c>
      <c r="M7" s="515">
        <f>10000*J7+K7*100+L7</f>
        <v>20000</v>
      </c>
      <c r="N7" s="516"/>
      <c r="P7" s="498"/>
      <c r="Q7" s="517"/>
      <c r="R7" s="499">
        <f>SUM(T7:AB7)</f>
        <v>728</v>
      </c>
      <c r="S7" s="603" t="str">
        <f>IFERROR(LEFT($B7,(FIND(",",$B7,1)-1)),"")</f>
        <v>Jaan Sepp</v>
      </c>
      <c r="T7" s="604">
        <f>IFERROR(INDEX(Reit!$I:$I,MATCH(S7,Reit!$F:$F,0)),"")</f>
        <v>243</v>
      </c>
      <c r="U7" s="603" t="str">
        <f>IFERROR(MID($B7,FIND("^",SUBSTITUTE($B7,", ","^",1))+2,FIND("^",SUBSTITUTE($B7,", ","^",2))-FIND("^",SUBSTITUTE($B7,", ","^",1))-2),"")</f>
        <v>Mait Metsla</v>
      </c>
      <c r="V7" s="604">
        <f>IFERROR(INDEX(Reit!$I:$I,MATCH(U7,Reit!$F:$F,0)),"")</f>
        <v>241</v>
      </c>
      <c r="W7" s="603" t="str">
        <f>IFERROR(MID($B7,FIND(", ",$B7,FIND(", ",$B7,FIND(", ",$B7))+1)+2,30000),"")</f>
        <v>Matti Vinni</v>
      </c>
      <c r="X7" s="604">
        <f>IFERROR(INDEX(Reit!$I:$I,MATCH(W7,Reit!$F:$F,0)),"")</f>
        <v>244</v>
      </c>
      <c r="Y7" s="605" t="str">
        <f t="shared" ref="Y7:Y60" si="0">IFERROR(MID($B7,FIND(", ",$B7,FIND(", ",$B7)+1)+2,FIND(", ",$B7,FIND(", ",$B7,FIND(", ",$B7)+1)+1)-FIND(", ",$B7,FIND(", ",$B7)+1)-2),"")</f>
        <v/>
      </c>
      <c r="Z7" s="604" t="str">
        <f>IFERROR(INDEX(Reit!$I:$I,MATCH(Y7,Reit!$F:$F,0)),"")</f>
        <v/>
      </c>
      <c r="AA7" s="603" t="str">
        <f>IFERROR(MID($B7,FIND(", ",$B7,FIND(", ",$B7,FIND(", ",$B7)+1)+1)+2,30000),"")</f>
        <v/>
      </c>
      <c r="AB7" s="604" t="str">
        <f>IFERROR(INDEX(Reit!$I:$I,MATCH(AA7,Reit!$F:$F,0)),"")</f>
        <v/>
      </c>
    </row>
    <row r="8" spans="1:28" s="506" customFormat="1" x14ac:dyDescent="0.2">
      <c r="A8" s="500">
        <v>2</v>
      </c>
      <c r="B8" s="518" t="s">
        <v>433</v>
      </c>
      <c r="C8" s="510">
        <v>9</v>
      </c>
      <c r="D8" s="509"/>
      <c r="E8" s="510">
        <v>13</v>
      </c>
      <c r="F8" s="510">
        <v>9</v>
      </c>
      <c r="G8" s="510"/>
      <c r="H8" s="511" t="str">
        <f>(IF(C8-D7&gt;0,1)+IF(E8-D9&gt;0,1)+IF(F8-D10&gt;0,1)+IF(G8-D11&gt;0,1))&amp;"-"&amp;(IF(C8-D7&lt;0,1)+IF(E8-D9&lt;0,1)+IF(F8-D10&lt;0,1)+IF(G8-D11&lt;0,1))</f>
        <v>1-2</v>
      </c>
      <c r="I8" s="510" t="str">
        <f>IF(AND(B8&lt;&gt;"",M$6=TRUE),A$6&amp;RANK(M8,M$7:M$11,0),"")</f>
        <v>3</v>
      </c>
      <c r="J8" s="512">
        <f t="shared" ref="J8:J11" si="1">VALUE(LEFT(H8,1))</f>
        <v>1</v>
      </c>
      <c r="K8" s="519">
        <f>IF(AND(J8=1,J7=1,C8&gt;D7),1)+IF(AND(J8=1,J9=1,E8&gt;D9),1)+IF(AND(J8=1,J10=1,F8&gt;D10),1)+IF(AND(J8=1,J11=1,G8&gt;D11),1)+IF(AND(J8=2,J7=2,C8&gt;D7),1)+IF(AND(J8=2,J9=2,E8&gt;D9),1)+IF(AND(J8=2,J10=2,F8&gt;D10),1)+IF(AND(J8=2,J11=2,G8&gt;D11),1)+IF(AND(J8=3,J7=3,C8&gt;D7),1)+IF(AND(J8=3,J9=3,E8&gt;D9),1)+IF(AND(J8=3,J10=3,F8&gt;D10),1)+IF(AND(J8=3,J11=3,G8&gt;D11),1)</f>
        <v>0</v>
      </c>
      <c r="L8" s="514">
        <f>IF(AND(J8=1,J7=1),C8-D7)+IF(AND(J8=1,J9=1),E8-D9)+IF(AND(J8=1,J10=1),F8-D10)+IF(AND(J8=1,J11=1),G8-D11)+IF(AND(J8=2,J7=2),C8-D7)+IF(AND(J8=2,J9=2),E8-D9)+IF(AND(J8=2,J10=2),F8-D10)+IF(AND(J8=2,J11=2),G8-D11)+IF(AND(J8=3,J7=3),C8-D7)+IF(AND(J8=3,J9=3),E8-D9)+IF(AND(J8=3,J10=3),F8-D10)+IF(AND(J8=3,J11=3),G8-D11)</f>
        <v>0</v>
      </c>
      <c r="M8" s="515">
        <f t="shared" ref="M8:M11" si="2">10000*J8+K8*100+L8</f>
        <v>10000</v>
      </c>
      <c r="P8" s="498"/>
      <c r="Q8" s="517"/>
      <c r="R8" s="499">
        <f t="shared" ref="R8:R60" si="3">SUM(T8:AB8)</f>
        <v>264</v>
      </c>
      <c r="S8" s="603" t="str">
        <f t="shared" ref="S8:S60" si="4">IFERROR(LEFT($B8,(FIND(",",$B8,1)-1)),"")</f>
        <v>Andrei Grintšak</v>
      </c>
      <c r="T8" s="604">
        <f>IFERROR(INDEX(Reit!$I:$I,MATCH(S8,Reit!$F:$F,0)),"")</f>
        <v>124</v>
      </c>
      <c r="U8" s="603" t="str">
        <f t="shared" ref="U8:U60" si="5">IFERROR(MID($B8,FIND("^",SUBSTITUTE($B8,", ","^",1))+2,FIND("^",SUBSTITUTE($B8,", ","^",2))-FIND("^",SUBSTITUTE($B8,", ","^",1))-2),"")</f>
        <v>Daniil Alekankin</v>
      </c>
      <c r="V8" s="604">
        <f>IFERROR(INDEX(Reit!$I:$I,MATCH(U8,Reit!$F:$F,0)),"")</f>
        <v>47</v>
      </c>
      <c r="W8" s="603" t="str">
        <f t="shared" ref="W8:W60" si="6">IFERROR(MID($B8,FIND(", ",$B8,FIND(", ",$B8,FIND(", ",$B8))+1)+2,30000),"")</f>
        <v>Emil Murzajev</v>
      </c>
      <c r="X8" s="604">
        <f>IFERROR(INDEX(Reit!$I:$I,MATCH(W8,Reit!$F:$F,0)),"")</f>
        <v>93</v>
      </c>
      <c r="Y8" s="605" t="str">
        <f t="shared" si="0"/>
        <v/>
      </c>
      <c r="Z8" s="604" t="str">
        <f>IFERROR(INDEX(Reit!$I:$I,MATCH(Y8,Reit!$F:$F,0)),"")</f>
        <v/>
      </c>
      <c r="AA8" s="603" t="str">
        <f t="shared" ref="AA8:AA60" si="7">IFERROR(MID($B8,FIND(", ",$B8,FIND(", ",$B8,FIND(", ",$B8)+1)+1)+2,30000),"")</f>
        <v/>
      </c>
      <c r="AB8" s="604" t="str">
        <f>IFERROR(INDEX(Reit!$I:$I,MATCH(AA8,Reit!$F:$F,0)),"")</f>
        <v/>
      </c>
    </row>
    <row r="9" spans="1:28" s="506" customFormat="1" x14ac:dyDescent="0.2">
      <c r="A9" s="500">
        <v>3</v>
      </c>
      <c r="B9" s="518" t="s">
        <v>434</v>
      </c>
      <c r="C9" s="510">
        <v>9</v>
      </c>
      <c r="D9" s="520">
        <v>9</v>
      </c>
      <c r="E9" s="509"/>
      <c r="F9" s="510">
        <v>9</v>
      </c>
      <c r="G9" s="510"/>
      <c r="H9" s="511" t="str">
        <f>(IF(C9-E7&gt;0,1)+IF(D9-E8&gt;0,1)+IF(F9-E10&gt;0,1)+IF(G9-E11&gt;0,1))&amp;"-"&amp;(IF(C9-E7&lt;0,1)+IF(D9-E8&lt;0,1)+IF(F9-E10&lt;0,1)+IF(G9-E11&lt;0,1))</f>
        <v>0-3</v>
      </c>
      <c r="I9" s="510" t="str">
        <f>IF(AND(B9&lt;&gt;"",M$6=TRUE),A$6&amp;RANK(M9,M$7:M$11,0),"")</f>
        <v>4</v>
      </c>
      <c r="J9" s="512">
        <f t="shared" si="1"/>
        <v>0</v>
      </c>
      <c r="K9" s="519">
        <f>IF(AND(J9=1,J7=1,C9&gt;E7),1)+IF(AND(J9=1,J8=1,D9&gt;E8),1)+IF(AND(J9=1,J10=1,F9&gt;E10),1)+IF(AND(J9=1,J11=1,G9&gt;E11),1)+IF(AND(J9=2,J7=2,C9&gt;E7),1)+IF(AND(J9=2,J8=2,D9&gt;E8),1)+IF(AND(J9=2,J10=2,F9&gt;E10),1)+IF(AND(J9=2,J11=2,G9&gt;E11),1)+IF(AND(J9=3,J7=3,C9&gt;E7),1)+IF(AND(J9=3,J8=3,D9&gt;E8),1)+IF(AND(J9=3,J10=3,F9&gt;E10),1)+IF(AND(J9=3,J11=3,G9&gt;E11),1)</f>
        <v>0</v>
      </c>
      <c r="L9" s="514">
        <f>IF(AND(J9=1,J7=1),C9-E7)+IF(AND(J9=1,J8=1),D9-E8)+IF(AND(J9=1,J10=1),F9-E10)+IF(AND(J9=1,J11=1),G9-E11)+IF(AND(J9=2,J7=2),C9-E7)+IF(AND(J9=2,J8=2),D9-E8)+IF(AND(J9=2,J10=2),F9-E10)+IF(AND(J9=2,J11=2),G9-E11)+IF(AND(J9=3,J7=3),C9-E7)+IF(AND(J9=3,J8=3),D9-E8)+IF(AND(J9=3,J10=3),F9-E10)+IF(AND(J9=3,J11=3),G9-E11)</f>
        <v>0</v>
      </c>
      <c r="M9" s="515">
        <f t="shared" si="2"/>
        <v>0</v>
      </c>
      <c r="P9" s="498"/>
      <c r="Q9" s="517"/>
      <c r="R9" s="499">
        <f t="shared" si="3"/>
        <v>616</v>
      </c>
      <c r="S9" s="603" t="str">
        <f t="shared" si="4"/>
        <v>Tõnu Kapper</v>
      </c>
      <c r="T9" s="604">
        <f>IFERROR(INDEX(Reit!$I:$I,MATCH(S9,Reit!$F:$F,0)),"")</f>
        <v>162</v>
      </c>
      <c r="U9" s="603" t="str">
        <f t="shared" si="5"/>
        <v>Tõnu Piik</v>
      </c>
      <c r="V9" s="604">
        <f>IFERROR(INDEX(Reit!$I:$I,MATCH(U9,Reit!$F:$F,0)),"")</f>
        <v>268</v>
      </c>
      <c r="W9" s="603" t="str">
        <f t="shared" si="6"/>
        <v>Vladimir Ogneštšikov</v>
      </c>
      <c r="X9" s="604">
        <f>IFERROR(INDEX(Reit!$I:$I,MATCH(W9,Reit!$F:$F,0)),"")</f>
        <v>186</v>
      </c>
      <c r="Y9" s="605" t="str">
        <f t="shared" si="0"/>
        <v/>
      </c>
      <c r="Z9" s="604" t="str">
        <f>IFERROR(INDEX(Reit!$I:$I,MATCH(Y9,Reit!$F:$F,0)),"")</f>
        <v/>
      </c>
      <c r="AA9" s="603" t="str">
        <f t="shared" si="7"/>
        <v/>
      </c>
      <c r="AB9" s="604" t="str">
        <f>IFERROR(INDEX(Reit!$I:$I,MATCH(AA9,Reit!$F:$F,0)),"")</f>
        <v/>
      </c>
    </row>
    <row r="10" spans="1:28" s="506" customFormat="1" x14ac:dyDescent="0.2">
      <c r="A10" s="500">
        <v>4</v>
      </c>
      <c r="B10" s="521" t="s">
        <v>435</v>
      </c>
      <c r="C10" s="510">
        <v>13</v>
      </c>
      <c r="D10" s="520">
        <v>13</v>
      </c>
      <c r="E10" s="510">
        <v>13</v>
      </c>
      <c r="F10" s="509"/>
      <c r="G10" s="522"/>
      <c r="H10" s="511" t="str">
        <f>(IF(C10-F7&gt;0,1)+IF(D10-F8&gt;0,1)+IF(E10-F9&gt;0,1)+IF(G10-F11&gt;0,1))&amp;"-"&amp;(IF(C10-F7&lt;0,1)+IF(D10-F8&lt;0,1)+IF(E10-F9&lt;0,1)+IF(G10-F11&lt;0,1))</f>
        <v>3-0</v>
      </c>
      <c r="I10" s="510" t="str">
        <f t="shared" ref="I10:I11" si="8">IF(AND(B10&lt;&gt;"",M$6=TRUE),A$6&amp;RANK(M10,M$7:M$11,0),"")</f>
        <v>1</v>
      </c>
      <c r="J10" s="512">
        <f t="shared" si="1"/>
        <v>3</v>
      </c>
      <c r="K10" s="519">
        <f>IF(AND(J10=1,J7=1,C10&gt;F7),1)+IF(AND(J10=1,J8=1,D10&gt;F8),1)+IF(AND(J10=1,J9=1,E10&gt;F9),1)+IF(AND(J10=1,J11=1,G10&gt;F11),1)+IF(AND(J10=2,J7=2,C10&gt;F7),1)+IF(AND(J10=2,J8=2,D10&gt;F8),1)+IF(AND(J10=2,J9=2,E10&gt;F9),1)+IF(AND(J10=2,J11=2,G10&gt;F11),1)+IF(AND(J10=3,J7=3,C10&gt;F7),1)+IF(AND(J10=3,J8=3,D10&gt;F8),1)+IF(AND(J10=3,J9=3,E10&gt;F9),1)+IF(AND(J10=3,J11=3,G10&gt;F11),1)</f>
        <v>0</v>
      </c>
      <c r="L10" s="514">
        <f>IF(AND(J10=1,J7=1),C10-F7)+IF(AND(J10=1,J8=1),D10-F8)+IF(AND(J10=1,J9=1),E10-F9)+IF(AND(J10=1,J11=1),G10-F11)+IF(AND(J10=2,J7=2),C10-F7)+IF(AND(J10=2,J8=2),D10-F8)+IF(AND(J10=2,J9=2),E10-F9)+IF(AND(J10=2,J11=2),G10-F11)+IF(AND(J10=3,J7=3),C10-F7)+IF(AND(J10=3,J8=3),D10-F8)+IF(AND(J10=3,J9=3),E10-F9)+IF(AND(J10=3,J11=3),G10-F11)</f>
        <v>0</v>
      </c>
      <c r="M10" s="515">
        <f t="shared" si="2"/>
        <v>30000</v>
      </c>
      <c r="N10"/>
      <c r="P10" s="498"/>
      <c r="Q10" s="517"/>
      <c r="R10" s="499">
        <f t="shared" si="3"/>
        <v>619</v>
      </c>
      <c r="S10" s="603" t="str">
        <f t="shared" si="4"/>
        <v>Argo Sepp</v>
      </c>
      <c r="T10" s="604">
        <f>IFERROR(INDEX(Reit!$I:$I,MATCH(S10,Reit!$F:$F,0)),"")</f>
        <v>91</v>
      </c>
      <c r="U10" s="603" t="str">
        <f t="shared" si="5"/>
        <v>Ivar Viljaste</v>
      </c>
      <c r="V10" s="604">
        <f>IFERROR(INDEX(Reit!$I:$I,MATCH(U10,Reit!$F:$F,0)),"")</f>
        <v>338</v>
      </c>
      <c r="W10" s="603" t="str">
        <f t="shared" si="6"/>
        <v>Kristo Viljaste</v>
      </c>
      <c r="X10" s="604">
        <f>IFERROR(INDEX(Reit!$I:$I,MATCH(W10,Reit!$F:$F,0)),"")</f>
        <v>190</v>
      </c>
      <c r="Y10" s="605" t="str">
        <f t="shared" si="0"/>
        <v/>
      </c>
      <c r="Z10" s="604" t="str">
        <f>IFERROR(INDEX(Reit!$I:$I,MATCH(Y10,Reit!$F:$F,0)),"")</f>
        <v/>
      </c>
      <c r="AA10" s="603" t="str">
        <f t="shared" si="7"/>
        <v/>
      </c>
      <c r="AB10" s="604" t="str">
        <f>IFERROR(INDEX(Reit!$I:$I,MATCH(AA10,Reit!$F:$F,0)),"")</f>
        <v/>
      </c>
    </row>
    <row r="11" spans="1:28" s="506" customFormat="1" hidden="1" x14ac:dyDescent="0.2">
      <c r="A11" s="500">
        <v>5</v>
      </c>
      <c r="B11" s="521"/>
      <c r="C11" s="510"/>
      <c r="D11" s="510"/>
      <c r="E11" s="510"/>
      <c r="F11" s="510"/>
      <c r="G11" s="509"/>
      <c r="H11" s="511" t="str">
        <f>(IF(C11-G7&gt;0,1)+IF(D11-G8&gt;0,1)+IF(E11-G9&gt;0,1)+IF(F11-G10&gt;0,1))&amp;"-"&amp;(IF(C11-G7&lt;0,1)+IF(D11-G8&lt;0,1)+IF(E11-G9&lt;0,1)+IF(F11-G10&lt;0,1))</f>
        <v>0-0</v>
      </c>
      <c r="I11" s="510" t="str">
        <f t="shared" si="8"/>
        <v/>
      </c>
      <c r="J11" s="512">
        <f t="shared" si="1"/>
        <v>0</v>
      </c>
      <c r="K11" s="519">
        <f>IF(AND(J11=1,J7=1,C11&gt;G7),1)+IF(AND(J11=1,J8=1,D11&gt;G8),1)+IF(AND(J11=1,J9=1,E11&gt;G9),1)+IF(AND(J11=1,J10=1,F11&gt;G10),1)+IF(AND(J11=2,J7=2,C11&gt;G7),1)+IF(AND(J11=2,J8=2,D11&gt;G8),1)+IF(AND(J11=2,J9=2,E11&gt;G9),1)+IF(AND(J11=2,J10=2,F11&gt;G10),1)+IF(AND(J11=3,J7=3,C11&gt;G7),1)+IF(AND(J11=3,J8=3,D11&gt;G8),1)+IF(AND(J11=3,J9=3,E11&gt;G9),1)+IF(AND(J11=3,J10=3,F11&gt;G10),1)</f>
        <v>0</v>
      </c>
      <c r="L11" s="514">
        <f>IF(AND(J11=1,J7=1),C11-G7)+IF(AND(J11=1,J8=1),D11-G8)+IF(AND(J11=1,J9=1),E11-G9)+IF(AND(J11=1,J10=1),F11-G10)+IF(AND(J11=2,J7=2),C11-G7)+IF(AND(J11=2,J8=2),D11-G8)+IF(AND(J11=2,J9=2),E11-G9)+IF(AND(J11=2,J10=2),F11-G10)+IF(AND(J11=3,J7=3),C11-G7)+IF(AND(J11=3,J8=3),D11-G8)+IF(AND(J11=3,J9=3),E11-G9)+IF(AND(J11=3,J10=3),F11-G10)</f>
        <v>0</v>
      </c>
      <c r="M11" s="515">
        <f t="shared" si="2"/>
        <v>0</v>
      </c>
      <c r="P11" s="498"/>
      <c r="Q11" s="517"/>
      <c r="R11" s="499">
        <f t="shared" si="3"/>
        <v>0</v>
      </c>
      <c r="S11" s="603" t="str">
        <f t="shared" si="4"/>
        <v/>
      </c>
      <c r="T11" s="604" t="str">
        <f>IFERROR(INDEX(Reit!$I:$I,MATCH(S11,Reit!$F:$F,0)),"")</f>
        <v/>
      </c>
      <c r="U11" s="603" t="str">
        <f t="shared" si="5"/>
        <v/>
      </c>
      <c r="V11" s="604" t="str">
        <f>IFERROR(INDEX(Reit!$I:$I,MATCH(U11,Reit!$F:$F,0)),"")</f>
        <v/>
      </c>
      <c r="W11" s="603" t="str">
        <f t="shared" si="6"/>
        <v/>
      </c>
      <c r="X11" s="604" t="str">
        <f>IFERROR(INDEX(Reit!$I:$I,MATCH(W11,Reit!$F:$F,0)),"")</f>
        <v/>
      </c>
      <c r="Y11" s="605" t="str">
        <f t="shared" si="0"/>
        <v/>
      </c>
      <c r="Z11" s="604" t="str">
        <f>IFERROR(INDEX(Reit!$I:$I,MATCH(Y11,Reit!$F:$F,0)),"")</f>
        <v/>
      </c>
      <c r="AA11" s="603" t="str">
        <f t="shared" si="7"/>
        <v/>
      </c>
      <c r="AB11" s="604" t="str">
        <f>IFERROR(INDEX(Reit!$I:$I,MATCH(AA11,Reit!$F:$F,0)),"")</f>
        <v/>
      </c>
    </row>
    <row r="12" spans="1:28" s="506" customFormat="1" hidden="1" x14ac:dyDescent="0.2">
      <c r="A12" s="523"/>
      <c r="B12" s="524"/>
      <c r="C12" s="525"/>
      <c r="D12" s="526"/>
      <c r="E12" s="525"/>
      <c r="F12" s="527"/>
      <c r="H12" s="528"/>
      <c r="I12" s="529"/>
      <c r="J12" s="496"/>
      <c r="K12" s="530"/>
      <c r="L12" s="531"/>
      <c r="M12" s="496"/>
      <c r="N12" s="532"/>
      <c r="P12" s="498"/>
      <c r="Q12" s="277"/>
      <c r="R12" s="277"/>
      <c r="S12" s="277"/>
      <c r="T12" s="277"/>
      <c r="U12" s="277"/>
      <c r="V12" s="277"/>
      <c r="W12" s="277"/>
      <c r="X12" s="277"/>
      <c r="Y12" s="277"/>
      <c r="Z12" s="277"/>
      <c r="AA12" s="277"/>
      <c r="AB12" s="277"/>
    </row>
    <row r="13" spans="1:28" s="498" customFormat="1" hidden="1" x14ac:dyDescent="0.2">
      <c r="A13" s="500" t="s">
        <v>141</v>
      </c>
      <c r="B13" s="501"/>
      <c r="C13" s="502">
        <v>1</v>
      </c>
      <c r="D13" s="502">
        <v>2</v>
      </c>
      <c r="E13" s="502">
        <v>3</v>
      </c>
      <c r="F13" s="502">
        <v>4</v>
      </c>
      <c r="G13" s="502">
        <v>5</v>
      </c>
      <c r="H13" s="501" t="s">
        <v>363</v>
      </c>
      <c r="I13" s="501" t="s">
        <v>26</v>
      </c>
      <c r="J13" s="533" t="s">
        <v>156</v>
      </c>
      <c r="K13" s="504" t="s">
        <v>156</v>
      </c>
      <c r="L13" s="534" t="s">
        <v>364</v>
      </c>
      <c r="M13" s="535" t="b">
        <f>OR(AND(COUNTA(B14:B18)=3,COUNTA(C14:G18)=6),AND(COUNTA(B14:B18)=4,COUNTA(C14:G18)=12),AND(COUNTA(B14:B18)=5,COUNTA(C14:G18)=20))</f>
        <v>0</v>
      </c>
      <c r="N13" s="536"/>
      <c r="Q13" s="277"/>
      <c r="R13" s="277"/>
      <c r="S13" s="277"/>
      <c r="T13" s="277"/>
      <c r="U13" s="277"/>
      <c r="V13" s="277"/>
      <c r="W13" s="277"/>
      <c r="X13" s="277"/>
      <c r="Y13" s="277"/>
      <c r="Z13" s="277"/>
      <c r="AA13" s="277"/>
      <c r="AB13" s="277"/>
    </row>
    <row r="14" spans="1:28" s="498" customFormat="1" hidden="1" x14ac:dyDescent="0.2">
      <c r="A14" s="500">
        <v>1</v>
      </c>
      <c r="B14" s="508"/>
      <c r="C14" s="509"/>
      <c r="D14" s="510"/>
      <c r="E14" s="510"/>
      <c r="F14" s="510"/>
      <c r="G14" s="510"/>
      <c r="H14" s="511" t="str">
        <f>(IF(D14-C15&gt;0,1)+IF(E14-C16&gt;0,1)+IF(F14-C17&gt;0,1)+IF(G14-C18&gt;0,1))&amp;"-"&amp;(IF(D14-C15&lt;0,1)+IF(E14-C16&lt;0,1)+IF(F14-C17&lt;0,1)+IF(G14-C18&lt;0,1))</f>
        <v>0-0</v>
      </c>
      <c r="I14" s="510" t="str">
        <f t="shared" ref="I14:I18" si="9">IF(AND(B14&lt;&gt;"",M$13=TRUE),A$13&amp;RANK(M14,M$14:M$18,0),"")</f>
        <v/>
      </c>
      <c r="J14" s="512">
        <f>VALUE(LEFT(H14,1))</f>
        <v>0</v>
      </c>
      <c r="K14" s="513">
        <f>IF(AND(J14=1,J15=1,D14&gt;C15),1)+IF(AND(J14=1,J16=1,E14&gt;C16),1)+IF(AND(J14=1,J17=1,F14&gt;C17),1)+IF(AND(J14=1,J18=1,G14&gt;C18),1)+IF(AND(J14=2,J15=2,D14&gt;C15),1)+IF(AND(J14=2,J16=2,E14&gt;C16),1)+IF(AND(J14=2,J17=2,F14&gt;C17),1)+IF(AND(J14=2,J18=2,G14&gt;C18),1)+IF(AND(J14=3,J15=3,D14&gt;C15),1)+IF(AND(J14=3,J16=3,E14&gt;C16),1)+IF(AND(J14=3,J17=3,F14&gt;C17),1)+IF(AND(J14=3,J18=3,G14&gt;C18),1)</f>
        <v>0</v>
      </c>
      <c r="L14" s="514"/>
      <c r="M14" s="515">
        <f>10000*J14+K14*100+L14</f>
        <v>0</v>
      </c>
      <c r="N14"/>
      <c r="Q14" s="277"/>
      <c r="R14" s="499">
        <f t="shared" si="3"/>
        <v>0</v>
      </c>
      <c r="S14" s="603" t="str">
        <f t="shared" si="4"/>
        <v/>
      </c>
      <c r="T14" s="604" t="str">
        <f>IFERROR(INDEX(Reit!$I:$I,MATCH(S14,Reit!$F:$F,0)),"")</f>
        <v/>
      </c>
      <c r="U14" s="603" t="str">
        <f t="shared" si="5"/>
        <v/>
      </c>
      <c r="V14" s="604" t="str">
        <f>IFERROR(INDEX(Reit!$I:$I,MATCH(U14,Reit!$F:$F,0)),"")</f>
        <v/>
      </c>
      <c r="W14" s="603" t="str">
        <f t="shared" si="6"/>
        <v/>
      </c>
      <c r="X14" s="604" t="str">
        <f>IFERROR(INDEX(Reit!$I:$I,MATCH(W14,Reit!$F:$F,0)),"")</f>
        <v/>
      </c>
      <c r="Y14" s="605" t="str">
        <f t="shared" si="0"/>
        <v/>
      </c>
      <c r="Z14" s="604" t="str">
        <f>IFERROR(INDEX(Reit!$I:$I,MATCH(Y14,Reit!$F:$F,0)),"")</f>
        <v/>
      </c>
      <c r="AA14" s="603" t="str">
        <f t="shared" si="7"/>
        <v/>
      </c>
      <c r="AB14" s="604" t="str">
        <f>IFERROR(INDEX(Reit!$I:$I,MATCH(AA14,Reit!$F:$F,0)),"")</f>
        <v/>
      </c>
    </row>
    <row r="15" spans="1:28" s="498" customFormat="1" hidden="1" x14ac:dyDescent="0.2">
      <c r="A15" s="500">
        <v>2</v>
      </c>
      <c r="B15" s="518"/>
      <c r="C15" s="510"/>
      <c r="D15" s="509"/>
      <c r="E15" s="510"/>
      <c r="F15" s="510"/>
      <c r="G15" s="510"/>
      <c r="H15" s="511" t="str">
        <f>(IF(C15-D14&gt;0,1)+IF(E15-D16&gt;0,1)+IF(F15-D17&gt;0,1)+IF(G15-D18&gt;0,1))&amp;"-"&amp;(IF(C15-D14&lt;0,1)+IF(E15-D16&lt;0,1)+IF(F15-D17&lt;0,1)+IF(G15-D18&lt;0,1))</f>
        <v>0-0</v>
      </c>
      <c r="I15" s="510" t="str">
        <f t="shared" si="9"/>
        <v/>
      </c>
      <c r="J15" s="512">
        <f t="shared" ref="J15:J18" si="10">VALUE(LEFT(H15,1))</f>
        <v>0</v>
      </c>
      <c r="K15" s="519">
        <f>IF(AND(J15=1,J14=1,C15&gt;D14),1)+IF(AND(J15=1,J16=1,E15&gt;D16),1)+IF(AND(J15=1,J17=1,F15&gt;D17),1)+IF(AND(J15=1,J18=1,G15&gt;D18),1)+IF(AND(J15=2,J14=2,C15&gt;D14),1)+IF(AND(J15=2,J16=2,E15&gt;D16),1)+IF(AND(J15=2,J17=2,F15&gt;D17),1)+IF(AND(J15=2,J18=2,G15&gt;D18),1)+IF(AND(J15=3,J14=3,C15&gt;D14),1)+IF(AND(J15=3,J16=3,E15&gt;D16),1)+IF(AND(J15=3,J17=3,F15&gt;D17),1)+IF(AND(J15=3,J18=3,G15&gt;D18),1)</f>
        <v>0</v>
      </c>
      <c r="L15" s="514">
        <f>IF(AND(J15=1,J14=1),C15-D14)+IF(AND(J15=1,J16=1),E15-D16)+IF(AND(J15=1,J17=1),F15-D17)+IF(AND(J15=1,J18=1),G15-D18)+IF(AND(J15=2,J14=2),C15-D14)+IF(AND(J15=2,J16=2),E15-D16)+IF(AND(J15=2,J17=2),F15-D17)+IF(AND(J15=2,J18=2),G15-D18)+IF(AND(J15=3,J14=3),C15-D14)+IF(AND(J15=3,J16=3),E15-D16)+IF(AND(J15=3,J17=3),F15-D17)+IF(AND(J15=3,J18=3),G15-D18)</f>
        <v>0</v>
      </c>
      <c r="M15" s="515">
        <f t="shared" ref="M15:M18" si="11">10000*J15+K15*100+L15</f>
        <v>0</v>
      </c>
      <c r="N15"/>
      <c r="Q15" s="277"/>
      <c r="R15" s="499">
        <f t="shared" si="3"/>
        <v>0</v>
      </c>
      <c r="S15" s="603" t="str">
        <f t="shared" si="4"/>
        <v/>
      </c>
      <c r="T15" s="604" t="str">
        <f>IFERROR(INDEX(Reit!$I:$I,MATCH(S15,Reit!$F:$F,0)),"")</f>
        <v/>
      </c>
      <c r="U15" s="603" t="str">
        <f t="shared" si="5"/>
        <v/>
      </c>
      <c r="V15" s="604" t="str">
        <f>IFERROR(INDEX(Reit!$I:$I,MATCH(U15,Reit!$F:$F,0)),"")</f>
        <v/>
      </c>
      <c r="W15" s="603" t="str">
        <f t="shared" si="6"/>
        <v/>
      </c>
      <c r="X15" s="604" t="str">
        <f>IFERROR(INDEX(Reit!$I:$I,MATCH(W15,Reit!$F:$F,0)),"")</f>
        <v/>
      </c>
      <c r="Y15" s="605" t="str">
        <f t="shared" si="0"/>
        <v/>
      </c>
      <c r="Z15" s="604" t="str">
        <f>IFERROR(INDEX(Reit!$I:$I,MATCH(Y15,Reit!$F:$F,0)),"")</f>
        <v/>
      </c>
      <c r="AA15" s="603" t="str">
        <f t="shared" si="7"/>
        <v/>
      </c>
      <c r="AB15" s="604" t="str">
        <f>IFERROR(INDEX(Reit!$I:$I,MATCH(AA15,Reit!$F:$F,0)),"")</f>
        <v/>
      </c>
    </row>
    <row r="16" spans="1:28" s="498" customFormat="1" hidden="1" x14ac:dyDescent="0.2">
      <c r="A16" s="500">
        <v>3</v>
      </c>
      <c r="B16" s="518"/>
      <c r="C16" s="510"/>
      <c r="D16" s="520"/>
      <c r="E16" s="509"/>
      <c r="F16" s="510"/>
      <c r="G16" s="510"/>
      <c r="H16" s="511" t="str">
        <f>(IF(C16-E14&gt;0,1)+IF(D16-E15&gt;0,1)+IF(F16-E17&gt;0,1)+IF(G16-E18&gt;0,1))&amp;"-"&amp;(IF(C16-E14&lt;0,1)+IF(D16-E15&lt;0,1)+IF(F16-E17&lt;0,1)+IF(G16-E18&lt;0,1))</f>
        <v>0-0</v>
      </c>
      <c r="I16" s="510" t="str">
        <f t="shared" si="9"/>
        <v/>
      </c>
      <c r="J16" s="512">
        <f t="shared" si="10"/>
        <v>0</v>
      </c>
      <c r="K16" s="519">
        <f>IF(AND(J16=1,J14=1,C16&gt;E14),1)+IF(AND(J16=1,J15=1,D16&gt;E15),1)+IF(AND(J16=1,J17=1,F16&gt;E17),1)+IF(AND(J16=1,J18=1,G16&gt;E18),1)+IF(AND(J16=2,J14=2,C16&gt;E14),1)+IF(AND(J16=2,J15=2,D16&gt;E15),1)+IF(AND(J16=2,J17=2,F16&gt;E17),1)+IF(AND(J16=2,J18=2,G16&gt;E18),1)+IF(AND(J16=3,J14=3,C16&gt;E14),1)+IF(AND(J16=3,J15=3,D16&gt;E15),1)+IF(AND(J16=3,J17=3,F16&gt;E17),1)+IF(AND(J16=3,J18=3,G16&gt;E18),1)</f>
        <v>0</v>
      </c>
      <c r="L16" s="514">
        <f>IF(AND(J16=1,J14=1),C16-E14)+IF(AND(J16=1,J15=1),D16-E15)+IF(AND(J16=1,J17=1),F16-E17)+IF(AND(J16=1,J18=1),G16-E18)+IF(AND(J16=2,J14=2),C16-E14)+IF(AND(J16=2,J15=2),D16-E15)+IF(AND(J16=2,J17=2),F16-E17)+IF(AND(J16=2,J18=2),G16-E18)+IF(AND(J16=3,J14=3),C16-E14)+IF(AND(J16=3,J15=3),D16-E15)+IF(AND(J16=3,J17=3),F16-E17)+IF(AND(J16=3,J18=3),G16-E18)</f>
        <v>0</v>
      </c>
      <c r="M16" s="515">
        <f t="shared" si="11"/>
        <v>0</v>
      </c>
      <c r="N16"/>
      <c r="Q16" s="277"/>
      <c r="R16" s="499">
        <f t="shared" si="3"/>
        <v>0</v>
      </c>
      <c r="S16" s="603" t="str">
        <f t="shared" si="4"/>
        <v/>
      </c>
      <c r="T16" s="604" t="str">
        <f>IFERROR(INDEX(Reit!$I:$I,MATCH(S16,Reit!$F:$F,0)),"")</f>
        <v/>
      </c>
      <c r="U16" s="603" t="str">
        <f t="shared" si="5"/>
        <v/>
      </c>
      <c r="V16" s="604" t="str">
        <f>IFERROR(INDEX(Reit!$I:$I,MATCH(U16,Reit!$F:$F,0)),"")</f>
        <v/>
      </c>
      <c r="W16" s="603" t="str">
        <f t="shared" si="6"/>
        <v/>
      </c>
      <c r="X16" s="604" t="str">
        <f>IFERROR(INDEX(Reit!$I:$I,MATCH(W16,Reit!$F:$F,0)),"")</f>
        <v/>
      </c>
      <c r="Y16" s="605" t="str">
        <f t="shared" si="0"/>
        <v/>
      </c>
      <c r="Z16" s="604" t="str">
        <f>IFERROR(INDEX(Reit!$I:$I,MATCH(Y16,Reit!$F:$F,0)),"")</f>
        <v/>
      </c>
      <c r="AA16" s="603" t="str">
        <f t="shared" si="7"/>
        <v/>
      </c>
      <c r="AB16" s="604" t="str">
        <f>IFERROR(INDEX(Reit!$I:$I,MATCH(AA16,Reit!$F:$F,0)),"")</f>
        <v/>
      </c>
    </row>
    <row r="17" spans="1:28" s="498" customFormat="1" hidden="1" x14ac:dyDescent="0.2">
      <c r="A17" s="500">
        <v>4</v>
      </c>
      <c r="B17" s="521"/>
      <c r="C17" s="510"/>
      <c r="D17" s="520"/>
      <c r="E17" s="510"/>
      <c r="F17" s="509"/>
      <c r="G17" s="522"/>
      <c r="H17" s="511" t="str">
        <f>(IF(C17-F14&gt;0,1)+IF(D17-F15&gt;0,1)+IF(E17-F16&gt;0,1)+IF(G17-F18&gt;0,1))&amp;"-"&amp;(IF(C17-F14&lt;0,1)+IF(D17-F15&lt;0,1)+IF(E17-F16&lt;0,1)+IF(G17-F18&lt;0,1))</f>
        <v>0-0</v>
      </c>
      <c r="I17" s="510" t="str">
        <f t="shared" si="9"/>
        <v/>
      </c>
      <c r="J17" s="512">
        <f t="shared" si="10"/>
        <v>0</v>
      </c>
      <c r="K17" s="519">
        <f>IF(AND(J17=1,J14=1,C17&gt;F14),1)+IF(AND(J17=1,J15=1,D17&gt;F15),1)+IF(AND(J17=1,J16=1,E17&gt;F16),1)+IF(AND(J17=1,J18=1,G17&gt;F18),1)+IF(AND(J17=2,J14=2,C17&gt;F14),1)+IF(AND(J17=2,J15=2,D17&gt;F15),1)+IF(AND(J17=2,J16=2,E17&gt;F16),1)+IF(AND(J17=2,J18=2,G17&gt;F18),1)+IF(AND(J17=3,J14=3,C17&gt;F14),1)+IF(AND(J17=3,J15=3,D17&gt;F15),1)+IF(AND(J17=3,J16=3,E17&gt;F16),1)+IF(AND(J17=3,J18=3,G17&gt;F18),1)</f>
        <v>0</v>
      </c>
      <c r="L17" s="514">
        <f>IF(AND(J17=1,J14=1),C17-F14)+IF(AND(J17=1,J15=1),D17-F15)+IF(AND(J17=1,J16=1),E17-F16)+IF(AND(J17=1,J18=1),G17-F18)+IF(AND(J17=2,J14=2),C17-F14)+IF(AND(J17=2,J15=2),D17-F15)+IF(AND(J17=2,J16=2),E17-F16)+IF(AND(J17=2,J18=2),G17-F18)+IF(AND(J17=3,J14=3),C17-F14)+IF(AND(J17=3,J15=3),D17-F15)+IF(AND(J17=3,J16=3),E17-F16)+IF(AND(J17=3,J18=3),G17-F18)</f>
        <v>0</v>
      </c>
      <c r="M17" s="515">
        <f t="shared" si="11"/>
        <v>0</v>
      </c>
      <c r="Q17" s="277"/>
      <c r="R17" s="499">
        <f t="shared" si="3"/>
        <v>0</v>
      </c>
      <c r="S17" s="603" t="str">
        <f t="shared" si="4"/>
        <v/>
      </c>
      <c r="T17" s="604" t="str">
        <f>IFERROR(INDEX(Reit!$I:$I,MATCH(S17,Reit!$F:$F,0)),"")</f>
        <v/>
      </c>
      <c r="U17" s="603" t="str">
        <f t="shared" si="5"/>
        <v/>
      </c>
      <c r="V17" s="604" t="str">
        <f>IFERROR(INDEX(Reit!$I:$I,MATCH(U17,Reit!$F:$F,0)),"")</f>
        <v/>
      </c>
      <c r="W17" s="603" t="str">
        <f t="shared" si="6"/>
        <v/>
      </c>
      <c r="X17" s="604" t="str">
        <f>IFERROR(INDEX(Reit!$I:$I,MATCH(W17,Reit!$F:$F,0)),"")</f>
        <v/>
      </c>
      <c r="Y17" s="605" t="str">
        <f t="shared" si="0"/>
        <v/>
      </c>
      <c r="Z17" s="604" t="str">
        <f>IFERROR(INDEX(Reit!$I:$I,MATCH(Y17,Reit!$F:$F,0)),"")</f>
        <v/>
      </c>
      <c r="AA17" s="603" t="str">
        <f t="shared" si="7"/>
        <v/>
      </c>
      <c r="AB17" s="604" t="str">
        <f>IFERROR(INDEX(Reit!$I:$I,MATCH(AA17,Reit!$F:$F,0)),"")</f>
        <v/>
      </c>
    </row>
    <row r="18" spans="1:28" s="498" customFormat="1" hidden="1" x14ac:dyDescent="0.2">
      <c r="A18" s="500">
        <v>5</v>
      </c>
      <c r="B18" s="521"/>
      <c r="C18" s="510"/>
      <c r="D18" s="510"/>
      <c r="E18" s="510"/>
      <c r="F18" s="510"/>
      <c r="G18" s="509"/>
      <c r="H18" s="511" t="str">
        <f>(IF(C18-G14&gt;0,1)+IF(D18-G15&gt;0,1)+IF(E18-G16&gt;0,1)+IF(F18-G17&gt;0,1))&amp;"-"&amp;(IF(C18-G14&lt;0,1)+IF(D18-G15&lt;0,1)+IF(E18-G16&lt;0,1)+IF(F18-G17&lt;0,1))</f>
        <v>0-0</v>
      </c>
      <c r="I18" s="510" t="str">
        <f t="shared" si="9"/>
        <v/>
      </c>
      <c r="J18" s="512">
        <f t="shared" si="10"/>
        <v>0</v>
      </c>
      <c r="K18" s="519">
        <f>IF(AND(J18=1,J14=1,C18&gt;G14),1)+IF(AND(J18=1,J15=1,D18&gt;G15),1)+IF(AND(J18=1,J16=1,E18&gt;G16),1)+IF(AND(J18=1,J17=1,F18&gt;G17),1)+IF(AND(J18=2,J14=2,C18&gt;G14),1)+IF(AND(J18=2,J15=2,D18&gt;G15),1)+IF(AND(J18=2,J16=2,E18&gt;G16),1)+IF(AND(J18=2,J17=2,F18&gt;G17),1)+IF(AND(J18=3,J14=3,C18&gt;G14),1)+IF(AND(J18=3,J15=3,D18&gt;G15),1)+IF(AND(J18=3,J16=3,E18&gt;G16),1)+IF(AND(J18=3,J17=3,F18&gt;G17),1)</f>
        <v>0</v>
      </c>
      <c r="L18" s="514">
        <f>IF(AND(J18=1,J14=1),C18-G14)+IF(AND(J18=1,J15=1),D18-G15)+IF(AND(J18=1,J16=1),E18-G16)+IF(AND(J18=1,J17=1),F18-G17)+IF(AND(J18=2,J14=2),C18-G14)+IF(AND(J18=2,J15=2),D18-G15)+IF(AND(J18=2,J16=2),E18-G16)+IF(AND(J18=2,J17=2),F18-G17)+IF(AND(J18=3,J14=3),C18-G14)+IF(AND(J18=3,J15=3),D18-G15)+IF(AND(J18=3,J16=3),E18-G16)+IF(AND(J18=3,J17=3),F18-G17)</f>
        <v>0</v>
      </c>
      <c r="M18" s="515">
        <f t="shared" si="11"/>
        <v>0</v>
      </c>
      <c r="Q18" s="277"/>
      <c r="R18" s="499">
        <f t="shared" si="3"/>
        <v>0</v>
      </c>
      <c r="S18" s="603" t="str">
        <f t="shared" si="4"/>
        <v/>
      </c>
      <c r="T18" s="604" t="str">
        <f>IFERROR(INDEX(Reit!$I:$I,MATCH(S18,Reit!$F:$F,0)),"")</f>
        <v/>
      </c>
      <c r="U18" s="603" t="str">
        <f t="shared" si="5"/>
        <v/>
      </c>
      <c r="V18" s="604" t="str">
        <f>IFERROR(INDEX(Reit!$I:$I,MATCH(U18,Reit!$F:$F,0)),"")</f>
        <v/>
      </c>
      <c r="W18" s="603" t="str">
        <f t="shared" si="6"/>
        <v/>
      </c>
      <c r="X18" s="604" t="str">
        <f>IFERROR(INDEX(Reit!$I:$I,MATCH(W18,Reit!$F:$F,0)),"")</f>
        <v/>
      </c>
      <c r="Y18" s="605" t="str">
        <f t="shared" si="0"/>
        <v/>
      </c>
      <c r="Z18" s="604" t="str">
        <f>IFERROR(INDEX(Reit!$I:$I,MATCH(Y18,Reit!$F:$F,0)),"")</f>
        <v/>
      </c>
      <c r="AA18" s="603" t="str">
        <f t="shared" si="7"/>
        <v/>
      </c>
      <c r="AB18" s="604" t="str">
        <f>IFERROR(INDEX(Reit!$I:$I,MATCH(AA18,Reit!$F:$F,0)),"")</f>
        <v/>
      </c>
    </row>
    <row r="19" spans="1:28" s="506" customFormat="1" hidden="1" x14ac:dyDescent="0.2">
      <c r="A19" s="523"/>
      <c r="B19" s="524"/>
      <c r="C19" s="525"/>
      <c r="D19" s="526"/>
      <c r="E19" s="525"/>
      <c r="F19" s="527"/>
      <c r="H19" s="528"/>
      <c r="I19" s="529"/>
      <c r="J19" s="496"/>
      <c r="K19" s="537"/>
      <c r="L19" s="531"/>
      <c r="M19" s="496"/>
      <c r="N19"/>
      <c r="P19" s="498"/>
      <c r="Q19" s="277"/>
      <c r="R19" s="277"/>
      <c r="S19" s="277"/>
      <c r="T19" s="277"/>
      <c r="U19" s="277"/>
      <c r="V19" s="277"/>
      <c r="W19" s="277"/>
      <c r="X19" s="277"/>
      <c r="Y19" s="277"/>
      <c r="Z19" s="277"/>
      <c r="AA19" s="277"/>
      <c r="AB19" s="277"/>
    </row>
    <row r="20" spans="1:28" s="498" customFormat="1" hidden="1" x14ac:dyDescent="0.2">
      <c r="A20" s="500" t="s">
        <v>142</v>
      </c>
      <c r="B20" s="501"/>
      <c r="C20" s="502">
        <v>1</v>
      </c>
      <c r="D20" s="502">
        <v>2</v>
      </c>
      <c r="E20" s="502">
        <v>3</v>
      </c>
      <c r="F20" s="502">
        <v>4</v>
      </c>
      <c r="G20" s="502">
        <v>5</v>
      </c>
      <c r="H20" s="501" t="s">
        <v>363</v>
      </c>
      <c r="I20" s="501" t="s">
        <v>26</v>
      </c>
      <c r="J20" s="533" t="s">
        <v>156</v>
      </c>
      <c r="K20" s="504" t="s">
        <v>156</v>
      </c>
      <c r="L20" s="534" t="s">
        <v>364</v>
      </c>
      <c r="M20" s="535" t="b">
        <f>OR(AND(COUNTA(B21:B25)=3,COUNTA(C21:G25)=6),AND(COUNTA(B21:B25)=4,COUNTA(C21:G25)=12),AND(COUNTA(B21:B25)=5,COUNTA(C21:G25)=20))</f>
        <v>0</v>
      </c>
      <c r="Q20" s="277"/>
      <c r="R20" s="277"/>
      <c r="S20" s="277"/>
      <c r="T20" s="277"/>
      <c r="U20" s="277"/>
      <c r="V20" s="277"/>
      <c r="W20" s="277"/>
      <c r="X20" s="277"/>
      <c r="Y20" s="277"/>
      <c r="Z20" s="277"/>
      <c r="AA20" s="277"/>
      <c r="AB20" s="277"/>
    </row>
    <row r="21" spans="1:28" s="498" customFormat="1" hidden="1" x14ac:dyDescent="0.2">
      <c r="A21" s="500">
        <v>1</v>
      </c>
      <c r="B21" s="508"/>
      <c r="C21" s="509"/>
      <c r="D21" s="510"/>
      <c r="E21" s="510"/>
      <c r="F21" s="510"/>
      <c r="G21" s="510"/>
      <c r="H21" s="511" t="str">
        <f>(IF(D21-C22&gt;0,1)+IF(E21-C23&gt;0,1)+IF(F21-C24&gt;0,1)+IF(G21-C25&gt;0,1))&amp;"-"&amp;(IF(D21-C22&lt;0,1)+IF(E21-C23&lt;0,1)+IF(F21-C24&lt;0,1)+IF(G21-C25&lt;0,1))</f>
        <v>0-0</v>
      </c>
      <c r="I21" s="510" t="str">
        <f>IF(AND(B21&lt;&gt;"",M$48=TRUE),A$48&amp;RANK(M21,M$21:M$25,0),"")</f>
        <v/>
      </c>
      <c r="J21" s="512">
        <f>VALUE(LEFT(H21,1))</f>
        <v>0</v>
      </c>
      <c r="K21" s="513">
        <f>IF(AND(J21=1,J22=1,D21&gt;C22),1)+IF(AND(J21=1,J23=1,E21&gt;C23),1)+IF(AND(J21=1,J24=1,F21&gt;C24),1)+IF(AND(J21=1,J25=1,G21&gt;C25),1)+IF(AND(J21=2,J22=2,D21&gt;C22),1)+IF(AND(J21=2,J23=2,E21&gt;C23),1)+IF(AND(J21=2,J24=2,F21&gt;C24),1)+IF(AND(J21=2,J25=2,G21&gt;C25),1)+IF(AND(J21=3,J22=3,D21&gt;C22),1)+IF(AND(J21=3,J23=3,E21&gt;C23),1)+IF(AND(J21=3,J24=3,F21&gt;C24),1)+IF(AND(J21=3,J25=3,G21&gt;C25),1)</f>
        <v>0</v>
      </c>
      <c r="L21" s="514">
        <f>IF(AND(J21=1,J22=1),D21-C22)+IF(AND(J21=1,J23=1),E21-C23)+IF(AND(J21=1,J24=1),F21-C24)+IF(AND(J21=1,J25=1),G21-C25)+IF(AND(J21=2,J22=2),D21-C22)+IF(AND(J21=2,J23=2),E21-C23)+IF(AND(J21=2,J24=2),F21-C24)+IF(AND(J21=2,J25=2),G21-C25)+IF(AND(J21=3,J22=3),D21-C22)+IF(AND(J21=3,J23=3),E21-C23)+IF(AND(J21=3,J24=3),F21-C24)+IF(AND(J21=3,J25=3),G21-C25)</f>
        <v>0</v>
      </c>
      <c r="M21" s="515">
        <f>10000*J21+K21*100+L21</f>
        <v>0</v>
      </c>
      <c r="N21"/>
      <c r="Q21" s="277"/>
      <c r="R21" s="499">
        <f t="shared" si="3"/>
        <v>0</v>
      </c>
      <c r="S21" s="603" t="str">
        <f t="shared" si="4"/>
        <v/>
      </c>
      <c r="T21" s="604" t="str">
        <f>IFERROR(INDEX(Reit!$I:$I,MATCH(S21,Reit!$F:$F,0)),"")</f>
        <v/>
      </c>
      <c r="U21" s="603" t="str">
        <f t="shared" si="5"/>
        <v/>
      </c>
      <c r="V21" s="604" t="str">
        <f>IFERROR(INDEX(Reit!$I:$I,MATCH(U21,Reit!$F:$F,0)),"")</f>
        <v/>
      </c>
      <c r="W21" s="603" t="str">
        <f t="shared" si="6"/>
        <v/>
      </c>
      <c r="X21" s="604" t="str">
        <f>IFERROR(INDEX(Reit!$I:$I,MATCH(W21,Reit!$F:$F,0)),"")</f>
        <v/>
      </c>
      <c r="Y21" s="605" t="str">
        <f t="shared" si="0"/>
        <v/>
      </c>
      <c r="Z21" s="604" t="str">
        <f>IFERROR(INDEX(Reit!$I:$I,MATCH(Y21,Reit!$F:$F,0)),"")</f>
        <v/>
      </c>
      <c r="AA21" s="603" t="str">
        <f t="shared" si="7"/>
        <v/>
      </c>
      <c r="AB21" s="604" t="str">
        <f>IFERROR(INDEX(Reit!$I:$I,MATCH(AA21,Reit!$F:$F,0)),"")</f>
        <v/>
      </c>
    </row>
    <row r="22" spans="1:28" s="498" customFormat="1" hidden="1" x14ac:dyDescent="0.2">
      <c r="A22" s="500">
        <v>2</v>
      </c>
      <c r="B22" s="518"/>
      <c r="C22" s="510"/>
      <c r="D22" s="509"/>
      <c r="E22" s="510"/>
      <c r="F22" s="510"/>
      <c r="G22" s="510"/>
      <c r="H22" s="511" t="str">
        <f>(IF(C22-D21&gt;0,1)+IF(E22-D23&gt;0,1)+IF(F22-D24&gt;0,1)+IF(G22-D25&gt;0,1))&amp;"-"&amp;(IF(C22-D21&lt;0,1)+IF(E22-D23&lt;0,1)+IF(F22-D24&lt;0,1)+IF(G22-D25&lt;0,1))</f>
        <v>0-0</v>
      </c>
      <c r="I22" s="510" t="str">
        <f>IF(AND(B22&lt;&gt;"",M$48=TRUE),A$48&amp;RANK(M22,M$21:M$25,0),"")</f>
        <v/>
      </c>
      <c r="J22" s="512">
        <f t="shared" ref="J22:J25" si="12">VALUE(LEFT(H22,1))</f>
        <v>0</v>
      </c>
      <c r="K22" s="519">
        <f>IF(AND(J22=1,J21=1,C22&gt;D21),1)+IF(AND(J22=1,J23=1,E22&gt;D23),1)+IF(AND(J22=1,J24=1,F22&gt;D24),1)+IF(AND(J22=1,J25=1,G22&gt;D25),1)+IF(AND(J22=2,J21=2,C22&gt;D21),1)+IF(AND(J22=2,J23=2,E22&gt;D23),1)+IF(AND(J22=2,J24=2,F22&gt;D24),1)+IF(AND(J22=2,J25=2,G22&gt;D25),1)+IF(AND(J22=3,J21=3,C22&gt;D21),1)+IF(AND(J22=3,J23=3,E22&gt;D23),1)+IF(AND(J22=3,J24=3,F22&gt;D24),1)+IF(AND(J22=3,J25=3,G22&gt;D25),1)</f>
        <v>0</v>
      </c>
      <c r="L22" s="514">
        <f>IF(AND(J22=1,J21=1),C22-D21)+IF(AND(J22=1,J23=1),E22-D23)+IF(AND(J22=1,J24=1),F22-D24)+IF(AND(J22=1,J25=1),G22-D25)+IF(AND(J22=2,J21=2),C22-D21)+IF(AND(J22=2,J23=2),E22-D23)+IF(AND(J22=2,J24=2),F22-D24)+IF(AND(J22=2,J25=2),G22-D25)+IF(AND(J22=3,J21=3),C22-D21)+IF(AND(J22=3,J23=3),E22-D23)+IF(AND(J22=3,J24=3),F22-D24)+IF(AND(J22=3,J25=3),G22-D25)</f>
        <v>0</v>
      </c>
      <c r="M22" s="515">
        <f t="shared" ref="M22:M25" si="13">10000*J22+K22*100+L22</f>
        <v>0</v>
      </c>
      <c r="Q22" s="277"/>
      <c r="R22" s="499">
        <f t="shared" si="3"/>
        <v>0</v>
      </c>
      <c r="S22" s="603" t="str">
        <f t="shared" si="4"/>
        <v/>
      </c>
      <c r="T22" s="604" t="str">
        <f>IFERROR(INDEX(Reit!$I:$I,MATCH(S22,Reit!$F:$F,0)),"")</f>
        <v/>
      </c>
      <c r="U22" s="603" t="str">
        <f t="shared" si="5"/>
        <v/>
      </c>
      <c r="V22" s="604" t="str">
        <f>IFERROR(INDEX(Reit!$I:$I,MATCH(U22,Reit!$F:$F,0)),"")</f>
        <v/>
      </c>
      <c r="W22" s="603" t="str">
        <f t="shared" si="6"/>
        <v/>
      </c>
      <c r="X22" s="604" t="str">
        <f>IFERROR(INDEX(Reit!$I:$I,MATCH(W22,Reit!$F:$F,0)),"")</f>
        <v/>
      </c>
      <c r="Y22" s="605" t="str">
        <f t="shared" si="0"/>
        <v/>
      </c>
      <c r="Z22" s="604" t="str">
        <f>IFERROR(INDEX(Reit!$I:$I,MATCH(Y22,Reit!$F:$F,0)),"")</f>
        <v/>
      </c>
      <c r="AA22" s="603" t="str">
        <f t="shared" si="7"/>
        <v/>
      </c>
      <c r="AB22" s="604" t="str">
        <f>IFERROR(INDEX(Reit!$I:$I,MATCH(AA22,Reit!$F:$F,0)),"")</f>
        <v/>
      </c>
    </row>
    <row r="23" spans="1:28" s="498" customFormat="1" hidden="1" x14ac:dyDescent="0.2">
      <c r="A23" s="500">
        <v>3</v>
      </c>
      <c r="B23" s="518"/>
      <c r="C23" s="510"/>
      <c r="D23" s="520"/>
      <c r="E23" s="509"/>
      <c r="F23" s="510"/>
      <c r="G23" s="510"/>
      <c r="H23" s="511" t="str">
        <f>(IF(C23-E21&gt;0,1)+IF(D23-E22&gt;0,1)+IF(F23-E24&gt;0,1)+IF(G23-E25&gt;0,1))&amp;"-"&amp;(IF(C23-E21&lt;0,1)+IF(D23-E22&lt;0,1)+IF(F23-E24&lt;0,1)+IF(G23-E25&lt;0,1))</f>
        <v>0-0</v>
      </c>
      <c r="I23" s="510" t="str">
        <f>IF(AND(B23&lt;&gt;"",M$48=TRUE),A$48&amp;RANK(M23,M$21:M$25,0),"")</f>
        <v/>
      </c>
      <c r="J23" s="512">
        <f t="shared" si="12"/>
        <v>0</v>
      </c>
      <c r="K23" s="519">
        <f>IF(AND(J23=1,J21=1,C23&gt;E21),1)+IF(AND(J23=1,J22=1,D23&gt;E22),1)+IF(AND(J23=1,J24=1,F23&gt;E24),1)+IF(AND(J23=1,J25=1,G23&gt;E25),1)+IF(AND(J23=2,J21=2,C23&gt;E21),1)+IF(AND(J23=2,J22=2,D23&gt;E22),1)+IF(AND(J23=2,J24=2,F23&gt;E24),1)+IF(AND(J23=2,J25=2,G23&gt;E25),1)+IF(AND(J23=3,J21=3,C23&gt;E21),1)+IF(AND(J23=3,J22=3,D23&gt;E22),1)+IF(AND(J23=3,J24=3,F23&gt;E24),1)+IF(AND(J23=3,J25=3,G23&gt;E25),1)</f>
        <v>0</v>
      </c>
      <c r="L23" s="514">
        <f>IF(AND(J23=1,J21=1),C23-E21)+IF(AND(J23=1,J22=1),D23-E22)+IF(AND(J23=1,J24=1),F23-E24)+IF(AND(J23=1,J25=1),G23-E25)+IF(AND(J23=2,J21=2),C23-E21)+IF(AND(J23=2,J22=2),D23-E22)+IF(AND(J23=2,J24=2),F23-E24)+IF(AND(J23=2,J25=2),G23-E25)+IF(AND(J23=3,J21=3),C23-E21)+IF(AND(J23=3,J22=3),D23-E22)+IF(AND(J23=3,J24=3),F23-E24)+IF(AND(J23=3,J25=3),G23-E25)</f>
        <v>0</v>
      </c>
      <c r="M23" s="515">
        <f t="shared" si="13"/>
        <v>0</v>
      </c>
      <c r="N23" s="536"/>
      <c r="Q23" s="277"/>
      <c r="R23" s="499">
        <f t="shared" si="3"/>
        <v>0</v>
      </c>
      <c r="S23" s="603" t="str">
        <f t="shared" si="4"/>
        <v/>
      </c>
      <c r="T23" s="604" t="str">
        <f>IFERROR(INDEX(Reit!$I:$I,MATCH(S23,Reit!$F:$F,0)),"")</f>
        <v/>
      </c>
      <c r="U23" s="603" t="str">
        <f t="shared" si="5"/>
        <v/>
      </c>
      <c r="V23" s="604" t="str">
        <f>IFERROR(INDEX(Reit!$I:$I,MATCH(U23,Reit!$F:$F,0)),"")</f>
        <v/>
      </c>
      <c r="W23" s="603" t="str">
        <f t="shared" si="6"/>
        <v/>
      </c>
      <c r="X23" s="604" t="str">
        <f>IFERROR(INDEX(Reit!$I:$I,MATCH(W23,Reit!$F:$F,0)),"")</f>
        <v/>
      </c>
      <c r="Y23" s="605" t="str">
        <f t="shared" si="0"/>
        <v/>
      </c>
      <c r="Z23" s="604" t="str">
        <f>IFERROR(INDEX(Reit!$I:$I,MATCH(Y23,Reit!$F:$F,0)),"")</f>
        <v/>
      </c>
      <c r="AA23" s="603" t="str">
        <f t="shared" si="7"/>
        <v/>
      </c>
      <c r="AB23" s="604" t="str">
        <f>IFERROR(INDEX(Reit!$I:$I,MATCH(AA23,Reit!$F:$F,0)),"")</f>
        <v/>
      </c>
    </row>
    <row r="24" spans="1:28" s="498" customFormat="1" hidden="1" x14ac:dyDescent="0.2">
      <c r="A24" s="500">
        <v>4</v>
      </c>
      <c r="B24" s="521"/>
      <c r="C24" s="510"/>
      <c r="D24" s="520"/>
      <c r="E24" s="510"/>
      <c r="F24" s="509"/>
      <c r="G24" s="522"/>
      <c r="H24" s="511" t="str">
        <f>(IF(C24-F21&gt;0,1)+IF(D24-F22&gt;0,1)+IF(E24-F23&gt;0,1)+IF(G24-F25&gt;0,1))&amp;"-"&amp;(IF(C24-F21&lt;0,1)+IF(D24-F22&lt;0,1)+IF(E24-F23&lt;0,1)+IF(G24-F25&lt;0,1))</f>
        <v>0-0</v>
      </c>
      <c r="I24" s="510" t="str">
        <f>IF(AND(B24&lt;&gt;"",M$48=TRUE),A$48&amp;RANK(M24,M$21:M$25,0),"")</f>
        <v/>
      </c>
      <c r="J24" s="512">
        <f t="shared" si="12"/>
        <v>0</v>
      </c>
      <c r="K24" s="519">
        <f>IF(AND(J24=1,J21=1,C24&gt;F21),1)+IF(AND(J24=1,J22=1,D24&gt;F22),1)+IF(AND(J24=1,J23=1,E24&gt;F23),1)+IF(AND(J24=1,J25=1,G24&gt;F25),1)+IF(AND(J24=2,J21=2,C24&gt;F21),1)+IF(AND(J24=2,J22=2,D24&gt;F22),1)+IF(AND(J24=2,J23=2,E24&gt;F23),1)+IF(AND(J24=2,J25=2,G24&gt;F25),1)+IF(AND(J24=3,J21=3,C24&gt;F21),1)+IF(AND(J24=3,J22=3,D24&gt;F22),1)+IF(AND(J24=3,J23=3,E24&gt;F23),1)+IF(AND(J24=3,J25=3,G24&gt;F25),1)</f>
        <v>0</v>
      </c>
      <c r="L24" s="514">
        <f>IF(AND(J24=1,J21=1),C24-F21)+IF(AND(J24=1,J22=1),D24-F22)+IF(AND(J24=1,J23=1),E24-F23)+IF(AND(J24=1,J25=1),G24-F25)+IF(AND(J24=2,J21=2),C24-F21)+IF(AND(J24=2,J22=2),D24-F22)+IF(AND(J24=2,J23=2),E24-F23)+IF(AND(J24=2,J25=2),G24-F25)+IF(AND(J24=3,J21=3),C24-F21)+IF(AND(J24=3,J22=3),D24-F22)+IF(AND(J24=3,J23=3),E24-F23)+IF(AND(J24=3,J25=3),G24-F25)</f>
        <v>0</v>
      </c>
      <c r="M24" s="515">
        <f t="shared" si="13"/>
        <v>0</v>
      </c>
      <c r="N24"/>
      <c r="Q24" s="277"/>
      <c r="R24" s="499">
        <f t="shared" si="3"/>
        <v>0</v>
      </c>
      <c r="S24" s="603" t="str">
        <f t="shared" si="4"/>
        <v/>
      </c>
      <c r="T24" s="604" t="str">
        <f>IFERROR(INDEX(Reit!$I:$I,MATCH(S24,Reit!$F:$F,0)),"")</f>
        <v/>
      </c>
      <c r="U24" s="603" t="str">
        <f t="shared" si="5"/>
        <v/>
      </c>
      <c r="V24" s="604" t="str">
        <f>IFERROR(INDEX(Reit!$I:$I,MATCH(U24,Reit!$F:$F,0)),"")</f>
        <v/>
      </c>
      <c r="W24" s="603" t="str">
        <f t="shared" si="6"/>
        <v/>
      </c>
      <c r="X24" s="604" t="str">
        <f>IFERROR(INDEX(Reit!$I:$I,MATCH(W24,Reit!$F:$F,0)),"")</f>
        <v/>
      </c>
      <c r="Y24" s="605" t="str">
        <f t="shared" si="0"/>
        <v/>
      </c>
      <c r="Z24" s="604" t="str">
        <f>IFERROR(INDEX(Reit!$I:$I,MATCH(Y24,Reit!$F:$F,0)),"")</f>
        <v/>
      </c>
      <c r="AA24" s="603" t="str">
        <f t="shared" si="7"/>
        <v/>
      </c>
      <c r="AB24" s="604" t="str">
        <f>IFERROR(INDEX(Reit!$I:$I,MATCH(AA24,Reit!$F:$F,0)),"")</f>
        <v/>
      </c>
    </row>
    <row r="25" spans="1:28" s="498" customFormat="1" hidden="1" x14ac:dyDescent="0.2">
      <c r="A25" s="500">
        <v>5</v>
      </c>
      <c r="B25" s="521"/>
      <c r="C25" s="510"/>
      <c r="D25" s="510"/>
      <c r="E25" s="510"/>
      <c r="F25" s="510"/>
      <c r="G25" s="509"/>
      <c r="H25" s="511" t="str">
        <f>(IF(C25-G21&gt;0,1)+IF(D25-G22&gt;0,1)+IF(E25-G23&gt;0,1)+IF(F25-G24&gt;0,1))&amp;"-"&amp;(IF(C25-G21&lt;0,1)+IF(D25-G22&lt;0,1)+IF(E25-G23&lt;0,1)+IF(F25-G24&lt;0,1))</f>
        <v>0-0</v>
      </c>
      <c r="I25" s="510" t="str">
        <f>IF(AND(B25&lt;&gt;"",M$48=TRUE),A$48&amp;RANK(M25,M$21:M$25,0),"")</f>
        <v/>
      </c>
      <c r="J25" s="512">
        <f t="shared" si="12"/>
        <v>0</v>
      </c>
      <c r="K25" s="519">
        <f>IF(AND(J25=1,J21=1,C25&gt;G21),1)+IF(AND(J25=1,J22=1,D25&gt;G22),1)+IF(AND(J25=1,J23=1,E25&gt;G23),1)+IF(AND(J25=1,J24=1,F25&gt;G24),1)+IF(AND(J25=2,J21=2,C25&gt;G21),1)+IF(AND(J25=2,J22=2,D25&gt;G22),1)+IF(AND(J25=2,J23=2,E25&gt;G23),1)+IF(AND(J25=2,J24=2,F25&gt;G24),1)+IF(AND(J25=3,J21=3,C25&gt;G21),1)+IF(AND(J25=3,J22=3,D25&gt;G22),1)+IF(AND(J25=3,J23=3,E25&gt;G23),1)+IF(AND(J25=3,J24=3,F25&gt;G24),1)</f>
        <v>0</v>
      </c>
      <c r="L25" s="514">
        <f>IF(AND(J25=1,J21=1),C25-G21)+IF(AND(J25=1,J22=1),D25-G22)+IF(AND(J25=1,J23=1),E25-G23)+IF(AND(J25=1,J24=1),F25-G24)+IF(AND(J25=2,J21=2),C25-G21)+IF(AND(J25=2,J22=2),D25-G22)+IF(AND(J25=2,J23=2),E25-G23)+IF(AND(J25=2,J24=2),F25-G24)+IF(AND(J25=3,J21=3),C25-G21)+IF(AND(J25=3,J22=3),D25-G22)+IF(AND(J25=3,J23=3),E25-G23)+IF(AND(J25=3,J24=3),F25-G24)</f>
        <v>0</v>
      </c>
      <c r="M25" s="515">
        <f t="shared" si="13"/>
        <v>0</v>
      </c>
      <c r="Q25" s="277"/>
      <c r="R25" s="499">
        <f t="shared" si="3"/>
        <v>0</v>
      </c>
      <c r="S25" s="603" t="str">
        <f t="shared" si="4"/>
        <v/>
      </c>
      <c r="T25" s="604" t="str">
        <f>IFERROR(INDEX(Reit!$I:$I,MATCH(S25,Reit!$F:$F,0)),"")</f>
        <v/>
      </c>
      <c r="U25" s="603" t="str">
        <f t="shared" si="5"/>
        <v/>
      </c>
      <c r="V25" s="604" t="str">
        <f>IFERROR(INDEX(Reit!$I:$I,MATCH(U25,Reit!$F:$F,0)),"")</f>
        <v/>
      </c>
      <c r="W25" s="603" t="str">
        <f t="shared" si="6"/>
        <v/>
      </c>
      <c r="X25" s="604" t="str">
        <f>IFERROR(INDEX(Reit!$I:$I,MATCH(W25,Reit!$F:$F,0)),"")</f>
        <v/>
      </c>
      <c r="Y25" s="605" t="str">
        <f t="shared" si="0"/>
        <v/>
      </c>
      <c r="Z25" s="604" t="str">
        <f>IFERROR(INDEX(Reit!$I:$I,MATCH(Y25,Reit!$F:$F,0)),"")</f>
        <v/>
      </c>
      <c r="AA25" s="603" t="str">
        <f t="shared" si="7"/>
        <v/>
      </c>
      <c r="AB25" s="604" t="str">
        <f>IFERROR(INDEX(Reit!$I:$I,MATCH(AA25,Reit!$F:$F,0)),"")</f>
        <v/>
      </c>
    </row>
    <row r="26" spans="1:28" s="498" customFormat="1" hidden="1" x14ac:dyDescent="0.2">
      <c r="A26" s="538"/>
      <c r="B26" s="539"/>
      <c r="C26" s="540"/>
      <c r="D26" s="540"/>
      <c r="E26" s="540"/>
      <c r="H26" s="541"/>
      <c r="I26" s="542"/>
      <c r="J26" s="543"/>
      <c r="K26" s="530"/>
      <c r="L26" s="544"/>
      <c r="M26" s="543"/>
      <c r="N26" s="532"/>
      <c r="Q26" s="277"/>
      <c r="R26" s="277"/>
      <c r="S26" s="277"/>
      <c r="T26" s="277"/>
      <c r="U26" s="277"/>
      <c r="V26" s="277"/>
      <c r="W26" s="277"/>
      <c r="X26" s="277"/>
      <c r="Y26" s="277"/>
      <c r="Z26" s="277"/>
      <c r="AA26" s="277"/>
      <c r="AB26" s="277"/>
    </row>
    <row r="27" spans="1:28" s="506" customFormat="1" hidden="1" x14ac:dyDescent="0.2">
      <c r="A27" s="500" t="s">
        <v>143</v>
      </c>
      <c r="B27" s="501"/>
      <c r="C27" s="502">
        <v>1</v>
      </c>
      <c r="D27" s="502">
        <v>2</v>
      </c>
      <c r="E27" s="502">
        <v>3</v>
      </c>
      <c r="F27" s="502">
        <v>4</v>
      </c>
      <c r="G27" s="502">
        <v>5</v>
      </c>
      <c r="H27" s="501" t="s">
        <v>363</v>
      </c>
      <c r="I27" s="501" t="s">
        <v>26</v>
      </c>
      <c r="J27" s="533" t="s">
        <v>156</v>
      </c>
      <c r="K27" s="504" t="s">
        <v>156</v>
      </c>
      <c r="L27" s="534" t="s">
        <v>364</v>
      </c>
      <c r="M27" s="535" t="b">
        <f>OR(AND(COUNTA(B28:B32)=3,COUNTA(C28:G32)=6),AND(COUNTA(B28:B32)=4,COUNTA(C28:G32)=12),AND(COUNTA(B28:B32)=5,COUNTA(C28:G32)=20))</f>
        <v>0</v>
      </c>
      <c r="N27"/>
      <c r="O27" s="498"/>
      <c r="P27" s="498"/>
      <c r="Q27" s="277"/>
      <c r="R27" s="277"/>
      <c r="S27" s="277"/>
      <c r="T27" s="277"/>
      <c r="U27" s="277"/>
      <c r="V27" s="277"/>
      <c r="W27" s="277"/>
      <c r="X27" s="277"/>
      <c r="Y27" s="277"/>
      <c r="Z27" s="277"/>
      <c r="AA27" s="277"/>
      <c r="AB27" s="277"/>
    </row>
    <row r="28" spans="1:28" s="506" customFormat="1" hidden="1" x14ac:dyDescent="0.2">
      <c r="A28" s="500">
        <v>1</v>
      </c>
      <c r="B28" s="508"/>
      <c r="C28" s="509"/>
      <c r="D28" s="510"/>
      <c r="E28" s="510"/>
      <c r="F28" s="510"/>
      <c r="G28" s="510"/>
      <c r="H28" s="511" t="str">
        <f>(IF(D28-C29&gt;0,1)+IF(E28-C30&gt;0,1)+IF(F28-C31&gt;0,1)+IF(G28-C32&gt;0,1))&amp;"-"&amp;(IF(D28-C29&lt;0,1)+IF(E28-C30&lt;0,1)+IF(F28-C31&lt;0,1)+IF(G28-C32&lt;0,1))</f>
        <v>0-0</v>
      </c>
      <c r="I28" s="510" t="str">
        <f t="shared" ref="I28:I32" si="14">IF(AND(B28&lt;&gt;"",M$27=TRUE),A$27&amp;RANK(M28,M$28:M$32,0),"")</f>
        <v/>
      </c>
      <c r="J28" s="512">
        <f>VALUE(LEFT(H28,1))</f>
        <v>0</v>
      </c>
      <c r="K28" s="513">
        <f>IF(AND(J28=1,J29=1,D28&gt;C29),1)+IF(AND(J28=1,J30=1,E28&gt;C30),1)+IF(AND(J28=1,J31=1,F28&gt;C31),1)+IF(AND(J28=1,J32=1,G28&gt;C32),1)+IF(AND(J28=2,J29=2,D28&gt;C29),1)+IF(AND(J28=2,J30=2,E28&gt;C30),1)+IF(AND(J28=2,J31=2,F28&gt;C31),1)+IF(AND(J28=2,J32=2,G28&gt;C32),1)+IF(AND(J28=3,J29=3,D28&gt;C29),1)+IF(AND(J28=3,J30=3,E28&gt;C30),1)+IF(AND(J28=3,J31=3,F28&gt;C31),1)+IF(AND(J28=3,J32=3,G28&gt;C32),1)</f>
        <v>0</v>
      </c>
      <c r="L28" s="514">
        <f>IF(AND(J28=1,J29=1),D28-C29)+IF(AND(J28=1,J30=1),E28-C30)+IF(AND(J28=1,J31=1),F28-C31)+IF(AND(J28=1,J32=1),G28-C32)+IF(AND(J28=2,J29=2),D28-C29)+IF(AND(J28=2,J30=2),E28-C30)+IF(AND(J28=2,J31=2),F28-C31)+IF(AND(J28=2,J32=2),G28-C32)+IF(AND(J28=3,J29=3),D28-C29)+IF(AND(J28=3,J30=3),E28-C30)+IF(AND(J28=3,J31=3),F28-C31)+IF(AND(J28=3,J32=3),G28-C32)</f>
        <v>0</v>
      </c>
      <c r="M28" s="515">
        <f>10000*J28+K28*100+L28</f>
        <v>0</v>
      </c>
      <c r="N28"/>
      <c r="O28" s="536"/>
      <c r="P28" s="498"/>
      <c r="Q28" s="277"/>
      <c r="R28" s="499">
        <f t="shared" si="3"/>
        <v>0</v>
      </c>
      <c r="S28" s="603" t="str">
        <f t="shared" si="4"/>
        <v/>
      </c>
      <c r="T28" s="604" t="str">
        <f>IFERROR(INDEX(Reit!$I:$I,MATCH(S28,Reit!$F:$F,0)),"")</f>
        <v/>
      </c>
      <c r="U28" s="603" t="str">
        <f t="shared" si="5"/>
        <v/>
      </c>
      <c r="V28" s="604" t="str">
        <f>IFERROR(INDEX(Reit!$I:$I,MATCH(U28,Reit!$F:$F,0)),"")</f>
        <v/>
      </c>
      <c r="W28" s="603" t="str">
        <f t="shared" si="6"/>
        <v/>
      </c>
      <c r="X28" s="604" t="str">
        <f>IFERROR(INDEX(Reit!$I:$I,MATCH(W28,Reit!$F:$F,0)),"")</f>
        <v/>
      </c>
      <c r="Y28" s="605" t="str">
        <f t="shared" si="0"/>
        <v/>
      </c>
      <c r="Z28" s="604" t="str">
        <f>IFERROR(INDEX(Reit!$I:$I,MATCH(Y28,Reit!$F:$F,0)),"")</f>
        <v/>
      </c>
      <c r="AA28" s="603" t="str">
        <f t="shared" si="7"/>
        <v/>
      </c>
      <c r="AB28" s="604" t="str">
        <f>IFERROR(INDEX(Reit!$I:$I,MATCH(AA28,Reit!$F:$F,0)),"")</f>
        <v/>
      </c>
    </row>
    <row r="29" spans="1:28" s="506" customFormat="1" hidden="1" x14ac:dyDescent="0.2">
      <c r="A29" s="500">
        <v>2</v>
      </c>
      <c r="B29" s="518"/>
      <c r="C29" s="510"/>
      <c r="D29" s="509"/>
      <c r="E29" s="510"/>
      <c r="F29" s="510"/>
      <c r="G29" s="510"/>
      <c r="H29" s="511" t="str">
        <f>(IF(C29-D28&gt;0,1)+IF(E29-D30&gt;0,1)+IF(F29-D31&gt;0,1)+IF(G29-D32&gt;0,1))&amp;"-"&amp;(IF(C29-D28&lt;0,1)+IF(E29-D30&lt;0,1)+IF(F29-D31&lt;0,1)+IF(G29-D32&lt;0,1))</f>
        <v>0-0</v>
      </c>
      <c r="I29" s="510" t="str">
        <f t="shared" si="14"/>
        <v/>
      </c>
      <c r="J29" s="512">
        <f t="shared" ref="J29:J32" si="15">VALUE(LEFT(H29,1))</f>
        <v>0</v>
      </c>
      <c r="K29" s="519">
        <f>IF(AND(J29=1,J28=1,C29&gt;D28),1)+IF(AND(J29=1,J30=1,E29&gt;D30),1)+IF(AND(J29=1,J31=1,F29&gt;D31),1)+IF(AND(J29=1,J32=1,G29&gt;D32),1)+IF(AND(J29=2,J28=2,C29&gt;D28),1)+IF(AND(J29=2,J30=2,E29&gt;D30),1)+IF(AND(J29=2,J31=2,F29&gt;D31),1)+IF(AND(J29=2,J32=2,G29&gt;D32),1)+IF(AND(J29=3,J28=3,C29&gt;D28),1)+IF(AND(J29=3,J30=3,E29&gt;D30),1)+IF(AND(J29=3,J31=3,F29&gt;D31),1)+IF(AND(J29=3,J32=3,G29&gt;D32),1)</f>
        <v>0</v>
      </c>
      <c r="L29" s="514">
        <f>IF(AND(J29=1,J28=1),C29-D28)+IF(AND(J29=1,J30=1),E29-D30)+IF(AND(J29=1,J31=1),F29-D31)+IF(AND(J29=1,J32=1),G29-D32)+IF(AND(J29=2,J28=2),C29-D28)+IF(AND(J29=2,J30=2),E29-D30)+IF(AND(J29=2,J31=2),F29-D31)+IF(AND(J29=2,J32=2),G29-D32)+IF(AND(J29=3,J28=3),C29-D28)+IF(AND(J29=3,J30=3),E29-D30)+IF(AND(J29=3,J31=3),F29-D31)+IF(AND(J29=3,J32=3),G29-D32)</f>
        <v>0</v>
      </c>
      <c r="M29" s="515">
        <f t="shared" ref="M29:M32" si="16">10000*J29+K29*100+L29</f>
        <v>0</v>
      </c>
      <c r="N29"/>
      <c r="O29" s="536"/>
      <c r="P29" s="498"/>
      <c r="Q29" s="277"/>
      <c r="R29" s="499">
        <f t="shared" si="3"/>
        <v>0</v>
      </c>
      <c r="S29" s="603" t="str">
        <f t="shared" si="4"/>
        <v/>
      </c>
      <c r="T29" s="604" t="str">
        <f>IFERROR(INDEX(Reit!$I:$I,MATCH(S29,Reit!$F:$F,0)),"")</f>
        <v/>
      </c>
      <c r="U29" s="603" t="str">
        <f t="shared" si="5"/>
        <v/>
      </c>
      <c r="V29" s="604" t="str">
        <f>IFERROR(INDEX(Reit!$I:$I,MATCH(U29,Reit!$F:$F,0)),"")</f>
        <v/>
      </c>
      <c r="W29" s="603" t="str">
        <f t="shared" si="6"/>
        <v/>
      </c>
      <c r="X29" s="604" t="str">
        <f>IFERROR(INDEX(Reit!$I:$I,MATCH(W29,Reit!$F:$F,0)),"")</f>
        <v/>
      </c>
      <c r="Y29" s="605" t="str">
        <f t="shared" si="0"/>
        <v/>
      </c>
      <c r="Z29" s="604" t="str">
        <f>IFERROR(INDEX(Reit!$I:$I,MATCH(Y29,Reit!$F:$F,0)),"")</f>
        <v/>
      </c>
      <c r="AA29" s="603" t="str">
        <f t="shared" si="7"/>
        <v/>
      </c>
      <c r="AB29" s="604" t="str">
        <f>IFERROR(INDEX(Reit!$I:$I,MATCH(AA29,Reit!$F:$F,0)),"")</f>
        <v/>
      </c>
    </row>
    <row r="30" spans="1:28" s="506" customFormat="1" hidden="1" x14ac:dyDescent="0.2">
      <c r="A30" s="500">
        <v>3</v>
      </c>
      <c r="B30" s="518"/>
      <c r="C30" s="510"/>
      <c r="D30" s="520"/>
      <c r="E30" s="509"/>
      <c r="F30" s="510"/>
      <c r="G30" s="510"/>
      <c r="H30" s="511" t="str">
        <f>(IF(C30-E28&gt;0,1)+IF(D30-E29&gt;0,1)+IF(F30-E31&gt;0,1)+IF(G30-E32&gt;0,1))&amp;"-"&amp;(IF(C30-E28&lt;0,1)+IF(D30-E29&lt;0,1)+IF(F30-E31&lt;0,1)+IF(G30-E32&lt;0,1))</f>
        <v>0-0</v>
      </c>
      <c r="I30" s="510" t="str">
        <f t="shared" si="14"/>
        <v/>
      </c>
      <c r="J30" s="512">
        <f t="shared" si="15"/>
        <v>0</v>
      </c>
      <c r="K30" s="519">
        <f>IF(AND(J30=1,J28=1,C30&gt;E28),1)+IF(AND(J30=1,J29=1,D30&gt;E29),1)+IF(AND(J30=1,J31=1,F30&gt;E31),1)+IF(AND(J30=1,J32=1,G30&gt;E32),1)+IF(AND(J30=2,J28=2,C30&gt;E28),1)+IF(AND(J30=2,J29=2,D30&gt;E29),1)+IF(AND(J30=2,J31=2,F30&gt;E31),1)+IF(AND(J30=2,J32=2,G30&gt;E32),1)+IF(AND(J30=3,J28=3,C30&gt;E28),1)+IF(AND(J30=3,J29=3,D30&gt;E29),1)+IF(AND(J30=3,J31=3,F30&gt;E31),1)+IF(AND(J30=3,J32=3,G30&gt;E32),1)</f>
        <v>0</v>
      </c>
      <c r="L30" s="514">
        <f>IF(AND(J30=1,J28=1),C30-E28)+IF(AND(J30=1,J29=1),D30-E29)+IF(AND(J30=1,J31=1),F30-E31)+IF(AND(J30=1,J32=1),G30-E32)+IF(AND(J30=2,J28=2),C30-E28)+IF(AND(J30=2,J29=2),D30-E29)+IF(AND(J30=2,J31=2),F30-E31)+IF(AND(J30=2,J32=2),G30-E32)+IF(AND(J30=3,J28=3),C30-E28)+IF(AND(J30=3,J29=3),D30-E29)+IF(AND(J30=3,J31=3),F30-E31)+IF(AND(J30=3,J32=3),G30-E32)</f>
        <v>0</v>
      </c>
      <c r="M30" s="515">
        <f t="shared" si="16"/>
        <v>0</v>
      </c>
      <c r="N30" s="532"/>
      <c r="P30" s="498"/>
      <c r="Q30" s="277"/>
      <c r="R30" s="499">
        <f t="shared" si="3"/>
        <v>0</v>
      </c>
      <c r="S30" s="603" t="str">
        <f t="shared" si="4"/>
        <v/>
      </c>
      <c r="T30" s="604" t="str">
        <f>IFERROR(INDEX(Reit!$I:$I,MATCH(S30,Reit!$F:$F,0)),"")</f>
        <v/>
      </c>
      <c r="U30" s="603" t="str">
        <f t="shared" si="5"/>
        <v/>
      </c>
      <c r="V30" s="604" t="str">
        <f>IFERROR(INDEX(Reit!$I:$I,MATCH(U30,Reit!$F:$F,0)),"")</f>
        <v/>
      </c>
      <c r="W30" s="603" t="str">
        <f t="shared" si="6"/>
        <v/>
      </c>
      <c r="X30" s="604" t="str">
        <f>IFERROR(INDEX(Reit!$I:$I,MATCH(W30,Reit!$F:$F,0)),"")</f>
        <v/>
      </c>
      <c r="Y30" s="605" t="str">
        <f t="shared" si="0"/>
        <v/>
      </c>
      <c r="Z30" s="604" t="str">
        <f>IFERROR(INDEX(Reit!$I:$I,MATCH(Y30,Reit!$F:$F,0)),"")</f>
        <v/>
      </c>
      <c r="AA30" s="603" t="str">
        <f t="shared" si="7"/>
        <v/>
      </c>
      <c r="AB30" s="604" t="str">
        <f>IFERROR(INDEX(Reit!$I:$I,MATCH(AA30,Reit!$F:$F,0)),"")</f>
        <v/>
      </c>
    </row>
    <row r="31" spans="1:28" s="506" customFormat="1" hidden="1" x14ac:dyDescent="0.2">
      <c r="A31" s="500">
        <v>4</v>
      </c>
      <c r="B31" s="521"/>
      <c r="C31" s="510"/>
      <c r="D31" s="520"/>
      <c r="E31" s="510"/>
      <c r="F31" s="509"/>
      <c r="G31" s="522"/>
      <c r="H31" s="511" t="str">
        <f>(IF(C31-F28&gt;0,1)+IF(D31-F29&gt;0,1)+IF(E31-F30&gt;0,1)+IF(G31-F32&gt;0,1))&amp;"-"&amp;(IF(C31-F28&lt;0,1)+IF(D31-F29&lt;0,1)+IF(E31-F30&lt;0,1)+IF(G31-F32&lt;0,1))</f>
        <v>0-0</v>
      </c>
      <c r="I31" s="510" t="str">
        <f t="shared" si="14"/>
        <v/>
      </c>
      <c r="J31" s="512">
        <f t="shared" si="15"/>
        <v>0</v>
      </c>
      <c r="K31" s="519">
        <f>IF(AND(J31=1,J28=1,C31&gt;F28),1)+IF(AND(J31=1,J29=1,D31&gt;F29),1)+IF(AND(J31=1,J30=1,E31&gt;F30),1)+IF(AND(J31=1,J32=1,G31&gt;F32),1)+IF(AND(J31=2,J28=2,C31&gt;F28),1)+IF(AND(J31=2,J29=2,D31&gt;F29),1)+IF(AND(J31=2,J30=2,E31&gt;F30),1)+IF(AND(J31=2,J32=2,G31&gt;F32),1)+IF(AND(J31=3,J28=3,C31&gt;F28),1)+IF(AND(J31=3,J29=3,D31&gt;F29),1)+IF(AND(J31=3,J30=3,E31&gt;F30),1)+IF(AND(J31=3,J32=3,G31&gt;F32),1)</f>
        <v>0</v>
      </c>
      <c r="L31" s="514">
        <f>IF(AND(J31=1,J28=1),C31-F28)+IF(AND(J31=1,J29=1),D31-F29)+IF(AND(J31=1,J30=1),E31-F30)+IF(AND(J31=1,J32=1),G31-F32)+IF(AND(J31=2,J28=2),C31-F28)+IF(AND(J31=2,J29=2),D31-F29)+IF(AND(J31=2,J30=2),E31-F30)+IF(AND(J31=2,J32=2),G31-F32)+IF(AND(J31=3,J28=3),C31-F28)+IF(AND(J31=3,J29=3),D31-F29)+IF(AND(J31=3,J30=3),E31-F30)+IF(AND(J31=3,J32=3),G31-F32)</f>
        <v>0</v>
      </c>
      <c r="M31" s="515">
        <f t="shared" si="16"/>
        <v>0</v>
      </c>
      <c r="N31"/>
      <c r="P31" s="498"/>
      <c r="Q31" s="277"/>
      <c r="R31" s="499">
        <f t="shared" si="3"/>
        <v>0</v>
      </c>
      <c r="S31" s="603" t="str">
        <f t="shared" si="4"/>
        <v/>
      </c>
      <c r="T31" s="604" t="str">
        <f>IFERROR(INDEX(Reit!$I:$I,MATCH(S31,Reit!$F:$F,0)),"")</f>
        <v/>
      </c>
      <c r="U31" s="603" t="str">
        <f t="shared" si="5"/>
        <v/>
      </c>
      <c r="V31" s="604" t="str">
        <f>IFERROR(INDEX(Reit!$I:$I,MATCH(U31,Reit!$F:$F,0)),"")</f>
        <v/>
      </c>
      <c r="W31" s="603" t="str">
        <f t="shared" si="6"/>
        <v/>
      </c>
      <c r="X31" s="604" t="str">
        <f>IFERROR(INDEX(Reit!$I:$I,MATCH(W31,Reit!$F:$F,0)),"")</f>
        <v/>
      </c>
      <c r="Y31" s="605" t="str">
        <f t="shared" si="0"/>
        <v/>
      </c>
      <c r="Z31" s="604" t="str">
        <f>IFERROR(INDEX(Reit!$I:$I,MATCH(Y31,Reit!$F:$F,0)),"")</f>
        <v/>
      </c>
      <c r="AA31" s="603" t="str">
        <f t="shared" si="7"/>
        <v/>
      </c>
      <c r="AB31" s="604" t="str">
        <f>IFERROR(INDEX(Reit!$I:$I,MATCH(AA31,Reit!$F:$F,0)),"")</f>
        <v/>
      </c>
    </row>
    <row r="32" spans="1:28" s="506" customFormat="1" hidden="1" x14ac:dyDescent="0.2">
      <c r="A32" s="500">
        <v>5</v>
      </c>
      <c r="B32" s="521"/>
      <c r="C32" s="510"/>
      <c r="D32" s="510"/>
      <c r="E32" s="510"/>
      <c r="F32" s="510"/>
      <c r="G32" s="509"/>
      <c r="H32" s="511" t="str">
        <f>(IF(C32-G28&gt;0,1)+IF(D32-G29&gt;0,1)+IF(E32-G30&gt;0,1)+IF(F32-G31&gt;0,1))&amp;"-"&amp;(IF(C32-G28&lt;0,1)+IF(D32-G29&lt;0,1)+IF(E32-G30&lt;0,1)+IF(F32-G31&lt;0,1))</f>
        <v>0-0</v>
      </c>
      <c r="I32" s="510" t="str">
        <f t="shared" si="14"/>
        <v/>
      </c>
      <c r="J32" s="512">
        <f t="shared" si="15"/>
        <v>0</v>
      </c>
      <c r="K32" s="519">
        <f>IF(AND(J32=1,J28=1,C32&gt;G28),1)+IF(AND(J32=1,J29=1,D32&gt;G29),1)+IF(AND(J32=1,J30=1,E32&gt;G30),1)+IF(AND(J32=1,J31=1,F32&gt;G31),1)+IF(AND(J32=2,J28=2,C32&gt;G28),1)+IF(AND(J32=2,J29=2,D32&gt;G29),1)+IF(AND(J32=2,J30=2,E32&gt;G30),1)+IF(AND(J32=2,J31=2,F32&gt;G31),1)+IF(AND(J32=3,J28=3,C32&gt;G28),1)+IF(AND(J32=3,J29=3,D32&gt;G29),1)+IF(AND(J32=3,J30=3,E32&gt;G30),1)+IF(AND(J32=3,J31=3,F32&gt;G31),1)</f>
        <v>0</v>
      </c>
      <c r="L32" s="514">
        <f>IF(AND(J32=1,J28=1),C32-G28)+IF(AND(J32=1,J29=1),D32-G29)+IF(AND(J32=1,J30=1),E32-G30)+IF(AND(J32=1,J31=1),F32-G31)+IF(AND(J32=2,J28=2),C32-G28)+IF(AND(J32=2,J29=2),D32-G29)+IF(AND(J32=2,J30=2),E32-G30)+IF(AND(J32=2,J31=2),F32-G31)+IF(AND(J32=3,J28=3),C32-G28)+IF(AND(J32=3,J29=3),D32-G29)+IF(AND(J32=3,J30=3),E32-G30)+IF(AND(J32=3,J31=3),F32-G31)</f>
        <v>0</v>
      </c>
      <c r="M32" s="515">
        <f t="shared" si="16"/>
        <v>0</v>
      </c>
      <c r="N32" s="498"/>
      <c r="P32" s="498"/>
      <c r="Q32" s="277"/>
      <c r="R32" s="499">
        <f t="shared" si="3"/>
        <v>0</v>
      </c>
      <c r="S32" s="603" t="str">
        <f t="shared" si="4"/>
        <v/>
      </c>
      <c r="T32" s="604" t="str">
        <f>IFERROR(INDEX(Reit!$I:$I,MATCH(S32,Reit!$F:$F,0)),"")</f>
        <v/>
      </c>
      <c r="U32" s="603" t="str">
        <f t="shared" si="5"/>
        <v/>
      </c>
      <c r="V32" s="604" t="str">
        <f>IFERROR(INDEX(Reit!$I:$I,MATCH(U32,Reit!$F:$F,0)),"")</f>
        <v/>
      </c>
      <c r="W32" s="603" t="str">
        <f t="shared" si="6"/>
        <v/>
      </c>
      <c r="X32" s="604" t="str">
        <f>IFERROR(INDEX(Reit!$I:$I,MATCH(W32,Reit!$F:$F,0)),"")</f>
        <v/>
      </c>
      <c r="Y32" s="605" t="str">
        <f t="shared" si="0"/>
        <v/>
      </c>
      <c r="Z32" s="604" t="str">
        <f>IFERROR(INDEX(Reit!$I:$I,MATCH(Y32,Reit!$F:$F,0)),"")</f>
        <v/>
      </c>
      <c r="AA32" s="603" t="str">
        <f t="shared" si="7"/>
        <v/>
      </c>
      <c r="AB32" s="604" t="str">
        <f>IFERROR(INDEX(Reit!$I:$I,MATCH(AA32,Reit!$F:$F,0)),"")</f>
        <v/>
      </c>
    </row>
    <row r="33" spans="1:28" s="506" customFormat="1" hidden="1" x14ac:dyDescent="0.2">
      <c r="A33" s="523"/>
      <c r="F33" s="545"/>
      <c r="H33" s="546"/>
      <c r="I33" s="547"/>
      <c r="J33" s="535"/>
      <c r="K33" s="542"/>
      <c r="L33" s="548"/>
      <c r="M33" s="535"/>
      <c r="N33" s="498"/>
      <c r="O33" s="498"/>
      <c r="P33" s="498"/>
      <c r="Q33" s="277"/>
      <c r="R33" s="277"/>
      <c r="S33" s="277"/>
      <c r="T33" s="277"/>
      <c r="U33" s="277"/>
      <c r="V33" s="277"/>
      <c r="W33" s="277"/>
      <c r="X33" s="277"/>
      <c r="Y33" s="277"/>
      <c r="Z33" s="277"/>
      <c r="AA33" s="277"/>
      <c r="AB33" s="277"/>
    </row>
    <row r="34" spans="1:28" s="506" customFormat="1" hidden="1" x14ac:dyDescent="0.2">
      <c r="A34" s="500" t="s">
        <v>144</v>
      </c>
      <c r="B34" s="501"/>
      <c r="C34" s="502">
        <v>1</v>
      </c>
      <c r="D34" s="502">
        <v>2</v>
      </c>
      <c r="E34" s="502">
        <v>3</v>
      </c>
      <c r="F34" s="502">
        <v>4</v>
      </c>
      <c r="G34" s="502">
        <v>5</v>
      </c>
      <c r="H34" s="502" t="s">
        <v>363</v>
      </c>
      <c r="I34" s="501" t="s">
        <v>26</v>
      </c>
      <c r="J34" s="503" t="s">
        <v>156</v>
      </c>
      <c r="K34" s="504" t="s">
        <v>156</v>
      </c>
      <c r="L34" s="505" t="s">
        <v>364</v>
      </c>
      <c r="M34" s="506" t="b">
        <f>OR(AND(COUNTA(B35:B39)=3,COUNTA(C35:G39)=6),AND(COUNTA(B35:B39)=4,COUNTA(C35:G39)=12),AND(COUNTA(B35:B39)=5,COUNTA(C35:G39)=20))</f>
        <v>0</v>
      </c>
      <c r="O34" s="498"/>
      <c r="P34" s="498"/>
      <c r="Q34" s="277"/>
      <c r="R34" s="277"/>
      <c r="S34" s="277"/>
      <c r="T34" s="277"/>
      <c r="U34" s="277"/>
      <c r="V34" s="277"/>
      <c r="W34" s="277"/>
      <c r="X34" s="277"/>
      <c r="Y34" s="277"/>
      <c r="Z34" s="277"/>
      <c r="AA34" s="277"/>
      <c r="AB34" s="277"/>
    </row>
    <row r="35" spans="1:28" s="506" customFormat="1" hidden="1" x14ac:dyDescent="0.2">
      <c r="A35" s="500">
        <v>1</v>
      </c>
      <c r="B35" s="508"/>
      <c r="C35" s="509"/>
      <c r="D35" s="510"/>
      <c r="E35" s="510"/>
      <c r="F35" s="510"/>
      <c r="G35" s="510"/>
      <c r="H35" s="511" t="str">
        <f>(IF(D35-C36&gt;0,1)+IF(E35-C37&gt;0,1)+IF(F35-C38&gt;0,1)+IF(G35-C39&gt;0,1))&amp;"-"&amp;(IF(D35-C36&lt;0,1)+IF(E35-C37&lt;0,1)+IF(F35-C38&lt;0,1)+IF(G35-C39&lt;0,1))</f>
        <v>0-0</v>
      </c>
      <c r="I35" s="510" t="str">
        <f>IF(AND(B35&lt;&gt;"",M$34=TRUE),A$34&amp;RANK(M35,M$35:M$39,0),"")</f>
        <v/>
      </c>
      <c r="J35" s="512">
        <f>VALUE(LEFT(H35,1))</f>
        <v>0</v>
      </c>
      <c r="K35" s="513">
        <f>IF(AND(J35=1,J36=1,D35&gt;C36),1)+IF(AND(J35=1,J37=1,E35&gt;C37),1)+IF(AND(J35=1,J38=1,F35&gt;C38),1)+IF(AND(J35=1,J39=1,G35&gt;C39),1)+IF(AND(J35=2,J36=2,D35&gt;C36),1)+IF(AND(J35=2,J37=2,E35&gt;C37),1)+IF(AND(J35=2,J38=2,F35&gt;C38),1)+IF(AND(J35=2,J39=2,G35&gt;C39),1)+IF(AND(J35=3,J36=3,D35&gt;C36),1)+IF(AND(J35=3,J37=3,E35&gt;C37),1)+IF(AND(J35=3,J38=3,F35&gt;C38),1)+IF(AND(J35=3,J39=3,G35&gt;C39),1)</f>
        <v>0</v>
      </c>
      <c r="L35" s="514">
        <f>IF(AND(J35=1,J36=1),D35-C36)+IF(AND(J35=1,J37=1),E35-C37)+IF(AND(J35=1,J38=1),F35-C38)+IF(AND(J35=1,J39=1),G35-C39)+IF(AND(J35=2,J36=2),D35-C36)+IF(AND(J35=2,J37=2),E35-C37)+IF(AND(J35=2,J38=2),F35-C38)+IF(AND(J35=2,J39=2),G35-C39)+IF(AND(J35=3,J36=3),D35-C36)+IF(AND(J35=3,J37=3),E35-C37)+IF(AND(J35=3,J38=3),F35-C38)+IF(AND(J35=3,J39=3),G35-C39)</f>
        <v>0</v>
      </c>
      <c r="M35" s="515">
        <f>10000*J35+K35*100+L35</f>
        <v>0</v>
      </c>
      <c r="N35" s="516"/>
      <c r="P35" s="498"/>
      <c r="Q35" s="517"/>
      <c r="R35" s="499">
        <f t="shared" si="3"/>
        <v>0</v>
      </c>
      <c r="S35" s="603" t="str">
        <f t="shared" si="4"/>
        <v/>
      </c>
      <c r="T35" s="604" t="str">
        <f>IFERROR(INDEX(Reit!$I:$I,MATCH(S35,Reit!$F:$F,0)),"")</f>
        <v/>
      </c>
      <c r="U35" s="603" t="str">
        <f t="shared" si="5"/>
        <v/>
      </c>
      <c r="V35" s="604" t="str">
        <f>IFERROR(INDEX(Reit!$I:$I,MATCH(U35,Reit!$F:$F,0)),"")</f>
        <v/>
      </c>
      <c r="W35" s="603" t="str">
        <f t="shared" si="6"/>
        <v/>
      </c>
      <c r="X35" s="604" t="str">
        <f>IFERROR(INDEX(Reit!$I:$I,MATCH(W35,Reit!$F:$F,0)),"")</f>
        <v/>
      </c>
      <c r="Y35" s="605" t="str">
        <f t="shared" si="0"/>
        <v/>
      </c>
      <c r="Z35" s="604" t="str">
        <f>IFERROR(INDEX(Reit!$I:$I,MATCH(Y35,Reit!$F:$F,0)),"")</f>
        <v/>
      </c>
      <c r="AA35" s="603" t="str">
        <f t="shared" si="7"/>
        <v/>
      </c>
      <c r="AB35" s="604" t="str">
        <f>IFERROR(INDEX(Reit!$I:$I,MATCH(AA35,Reit!$F:$F,0)),"")</f>
        <v/>
      </c>
    </row>
    <row r="36" spans="1:28" s="506" customFormat="1" hidden="1" x14ac:dyDescent="0.2">
      <c r="A36" s="500">
        <v>2</v>
      </c>
      <c r="B36" s="518"/>
      <c r="C36" s="510"/>
      <c r="D36" s="509"/>
      <c r="E36" s="510"/>
      <c r="F36" s="510"/>
      <c r="G36" s="510"/>
      <c r="H36" s="511" t="str">
        <f>(IF(C36-D35&gt;0,1)+IF(E36-D37&gt;0,1)+IF(F36-D38&gt;0,1)+IF(G36-D39&gt;0,1))&amp;"-"&amp;(IF(C36-D35&lt;0,1)+IF(E36-D37&lt;0,1)+IF(F36-D38&lt;0,1)+IF(G36-D39&lt;0,1))</f>
        <v>0-0</v>
      </c>
      <c r="I36" s="510" t="str">
        <f>IF(AND(B36&lt;&gt;"",M$34=TRUE),A$34&amp;RANK(M36,M$35:M$39,0),"")</f>
        <v/>
      </c>
      <c r="J36" s="512">
        <f t="shared" ref="J36:J39" si="17">VALUE(LEFT(H36,1))</f>
        <v>0</v>
      </c>
      <c r="K36" s="519">
        <f>IF(AND(J36=1,J35=1,C36&gt;D35),1)+IF(AND(J36=1,J37=1,E36&gt;D37),1)+IF(AND(J36=1,J38=1,F36&gt;D38),1)+IF(AND(J36=1,J39=1,G36&gt;D39),1)+IF(AND(J36=2,J35=2,C36&gt;D35),1)+IF(AND(J36=2,J37=2,E36&gt;D37),1)+IF(AND(J36=2,J38=2,F36&gt;D38),1)+IF(AND(J36=2,J39=2,G36&gt;D39),1)+IF(AND(J36=3,J35=3,C36&gt;D35),1)+IF(AND(J36=3,J37=3,E36&gt;D37),1)+IF(AND(J36=3,J38=3,F36&gt;D38),1)+IF(AND(J36=3,J39=3,G36&gt;D39),1)</f>
        <v>0</v>
      </c>
      <c r="L36" s="514">
        <f>IF(AND(J36=1,J35=1),C36-D35)+IF(AND(J36=1,J37=1),E36-D37)+IF(AND(J36=1,J38=1),F36-D38)+IF(AND(J36=1,J39=1),G36-D39)+IF(AND(J36=2,J35=2),C36-D35)+IF(AND(J36=2,J37=2),E36-D37)+IF(AND(J36=2,J38=2),F36-D38)+IF(AND(J36=2,J39=2),G36-D39)+IF(AND(J36=3,J35=3),C36-D35)+IF(AND(J36=3,J37=3),E36-D37)+IF(AND(J36=3,J38=3),F36-D38)+IF(AND(J36=3,J39=3),G36-D39)</f>
        <v>0</v>
      </c>
      <c r="M36" s="515">
        <f t="shared" ref="M36:M39" si="18">10000*J36+K36*100+L36</f>
        <v>0</v>
      </c>
      <c r="P36" s="498"/>
      <c r="Q36" s="517"/>
      <c r="R36" s="499">
        <f t="shared" si="3"/>
        <v>0</v>
      </c>
      <c r="S36" s="603" t="str">
        <f t="shared" si="4"/>
        <v/>
      </c>
      <c r="T36" s="604" t="str">
        <f>IFERROR(INDEX(Reit!$I:$I,MATCH(S36,Reit!$F:$F,0)),"")</f>
        <v/>
      </c>
      <c r="U36" s="603" t="str">
        <f t="shared" si="5"/>
        <v/>
      </c>
      <c r="V36" s="604" t="str">
        <f>IFERROR(INDEX(Reit!$I:$I,MATCH(U36,Reit!$F:$F,0)),"")</f>
        <v/>
      </c>
      <c r="W36" s="603" t="str">
        <f t="shared" si="6"/>
        <v/>
      </c>
      <c r="X36" s="604" t="str">
        <f>IFERROR(INDEX(Reit!$I:$I,MATCH(W36,Reit!$F:$F,0)),"")</f>
        <v/>
      </c>
      <c r="Y36" s="605" t="str">
        <f t="shared" si="0"/>
        <v/>
      </c>
      <c r="Z36" s="604" t="str">
        <f>IFERROR(INDEX(Reit!$I:$I,MATCH(Y36,Reit!$F:$F,0)),"")</f>
        <v/>
      </c>
      <c r="AA36" s="603" t="str">
        <f t="shared" si="7"/>
        <v/>
      </c>
      <c r="AB36" s="604" t="str">
        <f>IFERROR(INDEX(Reit!$I:$I,MATCH(AA36,Reit!$F:$F,0)),"")</f>
        <v/>
      </c>
    </row>
    <row r="37" spans="1:28" s="506" customFormat="1" hidden="1" x14ac:dyDescent="0.2">
      <c r="A37" s="500">
        <v>3</v>
      </c>
      <c r="B37" s="518"/>
      <c r="C37" s="510"/>
      <c r="D37" s="520"/>
      <c r="E37" s="509"/>
      <c r="F37" s="510"/>
      <c r="G37" s="510"/>
      <c r="H37" s="511" t="str">
        <f>(IF(C37-E35&gt;0,1)+IF(D37-E36&gt;0,1)+IF(F37-E38&gt;0,1)+IF(G37-E39&gt;0,1))&amp;"-"&amp;(IF(C37-E35&lt;0,1)+IF(D37-E36&lt;0,1)+IF(F37-E38&lt;0,1)+IF(G37-E39&lt;0,1))</f>
        <v>0-0</v>
      </c>
      <c r="I37" s="510" t="str">
        <f>IF(AND(B37&lt;&gt;"",M$34=TRUE),A$34&amp;RANK(M37,M$35:M$39,0),"")</f>
        <v/>
      </c>
      <c r="J37" s="512">
        <f t="shared" si="17"/>
        <v>0</v>
      </c>
      <c r="K37" s="519">
        <f>IF(AND(J37=1,J35=1,C37&gt;E35),1)+IF(AND(J37=1,J36=1,D37&gt;E36),1)+IF(AND(J37=1,J38=1,F37&gt;E38),1)+IF(AND(J37=1,J39=1,G37&gt;E39),1)+IF(AND(J37=2,J35=2,C37&gt;E35),1)+IF(AND(J37=2,J36=2,D37&gt;E36),1)+IF(AND(J37=2,J38=2,F37&gt;E38),1)+IF(AND(J37=2,J39=2,G37&gt;E39),1)+IF(AND(J37=3,J35=3,C37&gt;E35),1)+IF(AND(J37=3,J36=3,D37&gt;E36),1)+IF(AND(J37=3,J38=3,F37&gt;E38),1)+IF(AND(J37=3,J39=3,G37&gt;E39),1)</f>
        <v>0</v>
      </c>
      <c r="L37" s="514">
        <f>IF(AND(J37=1,J35=1),C37-E35)+IF(AND(J37=1,J36=1),D37-E36)+IF(AND(J37=1,J38=1),F37-E38)+IF(AND(J37=1,J39=1),G37-E39)+IF(AND(J37=2,J35=2),C37-E35)+IF(AND(J37=2,J36=2),D37-E36)+IF(AND(J37=2,J38=2),F37-E38)+IF(AND(J37=2,J39=2),G37-E39)+IF(AND(J37=3,J35=3),C37-E35)+IF(AND(J37=3,J36=3),D37-E36)+IF(AND(J37=3,J38=3),F37-E38)+IF(AND(J37=3,J39=3),G37-E39)</f>
        <v>0</v>
      </c>
      <c r="M37" s="515">
        <f t="shared" si="18"/>
        <v>0</v>
      </c>
      <c r="P37" s="498"/>
      <c r="Q37" s="517"/>
      <c r="R37" s="499">
        <f t="shared" si="3"/>
        <v>0</v>
      </c>
      <c r="S37" s="603" t="str">
        <f t="shared" si="4"/>
        <v/>
      </c>
      <c r="T37" s="604" t="str">
        <f>IFERROR(INDEX(Reit!$I:$I,MATCH(S37,Reit!$F:$F,0)),"")</f>
        <v/>
      </c>
      <c r="U37" s="603" t="str">
        <f t="shared" si="5"/>
        <v/>
      </c>
      <c r="V37" s="604" t="str">
        <f>IFERROR(INDEX(Reit!$I:$I,MATCH(U37,Reit!$F:$F,0)),"")</f>
        <v/>
      </c>
      <c r="W37" s="603" t="str">
        <f t="shared" si="6"/>
        <v/>
      </c>
      <c r="X37" s="604" t="str">
        <f>IFERROR(INDEX(Reit!$I:$I,MATCH(W37,Reit!$F:$F,0)),"")</f>
        <v/>
      </c>
      <c r="Y37" s="605" t="str">
        <f t="shared" si="0"/>
        <v/>
      </c>
      <c r="Z37" s="604" t="str">
        <f>IFERROR(INDEX(Reit!$I:$I,MATCH(Y37,Reit!$F:$F,0)),"")</f>
        <v/>
      </c>
      <c r="AA37" s="603" t="str">
        <f t="shared" si="7"/>
        <v/>
      </c>
      <c r="AB37" s="604" t="str">
        <f>IFERROR(INDEX(Reit!$I:$I,MATCH(AA37,Reit!$F:$F,0)),"")</f>
        <v/>
      </c>
    </row>
    <row r="38" spans="1:28" s="506" customFormat="1" hidden="1" x14ac:dyDescent="0.2">
      <c r="A38" s="500">
        <v>4</v>
      </c>
      <c r="B38" s="521"/>
      <c r="C38" s="510"/>
      <c r="D38" s="520"/>
      <c r="E38" s="510"/>
      <c r="F38" s="509"/>
      <c r="G38" s="522"/>
      <c r="H38" s="511" t="str">
        <f>(IF(C38-F35&gt;0,1)+IF(D38-F36&gt;0,1)+IF(E38-F37&gt;0,1)+IF(G38-F39&gt;0,1))&amp;"-"&amp;(IF(C38-F35&lt;0,1)+IF(D38-F36&lt;0,1)+IF(E38-F37&lt;0,1)+IF(G38-F39&lt;0,1))</f>
        <v>0-0</v>
      </c>
      <c r="I38" s="510" t="str">
        <f>IF(AND(B38&lt;&gt;"",M$34=TRUE),A$34&amp;RANK(M38,M$35:M$39,0),"")</f>
        <v/>
      </c>
      <c r="J38" s="512">
        <f t="shared" si="17"/>
        <v>0</v>
      </c>
      <c r="K38" s="519">
        <f>IF(AND(J38=1,J35=1,C38&gt;F35),1)+IF(AND(J38=1,J36=1,D38&gt;F36),1)+IF(AND(J38=1,J37=1,E38&gt;F37),1)+IF(AND(J38=1,J39=1,G38&gt;F39),1)+IF(AND(J38=2,J35=2,C38&gt;F35),1)+IF(AND(J38=2,J36=2,D38&gt;F36),1)+IF(AND(J38=2,J37=2,E38&gt;F37),1)+IF(AND(J38=2,J39=2,G38&gt;F39),1)+IF(AND(J38=3,J35=3,C38&gt;F35),1)+IF(AND(J38=3,J36=3,D38&gt;F36),1)+IF(AND(J38=3,J37=3,E38&gt;F37),1)+IF(AND(J38=3,J39=3,G38&gt;F39),1)</f>
        <v>0</v>
      </c>
      <c r="L38" s="514">
        <f>IF(AND(J38=1,J35=1),C38-F35)+IF(AND(J38=1,J36=1),D38-F36)+IF(AND(J38=1,J37=1),E38-F37)+IF(AND(J38=1,J39=1),G38-F39)+IF(AND(J38=2,J35=2),C38-F35)+IF(AND(J38=2,J36=2),D38-F36)+IF(AND(J38=2,J37=2),E38-F37)+IF(AND(J38=2,J39=2),G38-F39)+IF(AND(J38=3,J35=3),C38-F35)+IF(AND(J38=3,J36=3),D38-F36)+IF(AND(J38=3,J37=3),E38-F37)+IF(AND(J38=3,J39=3),G38-F39)</f>
        <v>0</v>
      </c>
      <c r="M38" s="515">
        <f t="shared" si="18"/>
        <v>0</v>
      </c>
      <c r="N38"/>
      <c r="P38" s="498"/>
      <c r="Q38" s="517"/>
      <c r="R38" s="499">
        <f t="shared" si="3"/>
        <v>0</v>
      </c>
      <c r="S38" s="603" t="str">
        <f t="shared" si="4"/>
        <v/>
      </c>
      <c r="T38" s="604" t="str">
        <f>IFERROR(INDEX(Reit!$I:$I,MATCH(S38,Reit!$F:$F,0)),"")</f>
        <v/>
      </c>
      <c r="U38" s="603" t="str">
        <f t="shared" si="5"/>
        <v/>
      </c>
      <c r="V38" s="604" t="str">
        <f>IFERROR(INDEX(Reit!$I:$I,MATCH(U38,Reit!$F:$F,0)),"")</f>
        <v/>
      </c>
      <c r="W38" s="603" t="str">
        <f t="shared" si="6"/>
        <v/>
      </c>
      <c r="X38" s="604" t="str">
        <f>IFERROR(INDEX(Reit!$I:$I,MATCH(W38,Reit!$F:$F,0)),"")</f>
        <v/>
      </c>
      <c r="Y38" s="605" t="str">
        <f t="shared" si="0"/>
        <v/>
      </c>
      <c r="Z38" s="604" t="str">
        <f>IFERROR(INDEX(Reit!$I:$I,MATCH(Y38,Reit!$F:$F,0)),"")</f>
        <v/>
      </c>
      <c r="AA38" s="603" t="str">
        <f t="shared" si="7"/>
        <v/>
      </c>
      <c r="AB38" s="604" t="str">
        <f>IFERROR(INDEX(Reit!$I:$I,MATCH(AA38,Reit!$F:$F,0)),"")</f>
        <v/>
      </c>
    </row>
    <row r="39" spans="1:28" s="506" customFormat="1" hidden="1" x14ac:dyDescent="0.2">
      <c r="A39" s="500">
        <v>5</v>
      </c>
      <c r="B39" s="521"/>
      <c r="C39" s="510"/>
      <c r="D39" s="510"/>
      <c r="E39" s="510"/>
      <c r="F39" s="510"/>
      <c r="G39" s="509"/>
      <c r="H39" s="511" t="str">
        <f>(IF(C39-G35&gt;0,1)+IF(D39-G36&gt;0,1)+IF(E39-G37&gt;0,1)+IF(F39-G38&gt;0,1))&amp;"-"&amp;(IF(C39-G35&lt;0,1)+IF(D39-G36&lt;0,1)+IF(E39-G37&lt;0,1)+IF(F39-G38&lt;0,1))</f>
        <v>0-0</v>
      </c>
      <c r="I39" s="510" t="str">
        <f>IF(AND(B39&lt;&gt;"",M$34=TRUE),A$34&amp;RANK(M39,M$35:M$39,0),"")</f>
        <v/>
      </c>
      <c r="J39" s="512">
        <f t="shared" si="17"/>
        <v>0</v>
      </c>
      <c r="K39" s="519">
        <f>IF(AND(J39=1,J35=1,C39&gt;G35),1)+IF(AND(J39=1,J36=1,D39&gt;G36),1)+IF(AND(J39=1,J37=1,E39&gt;G37),1)+IF(AND(J39=1,J38=1,F39&gt;G38),1)+IF(AND(J39=2,J35=2,C39&gt;G35),1)+IF(AND(J39=2,J36=2,D39&gt;G36),1)+IF(AND(J39=2,J37=2,E39&gt;G37),1)+IF(AND(J39=2,J38=2,F39&gt;G38),1)+IF(AND(J39=3,J35=3,C39&gt;G35),1)+IF(AND(J39=3,J36=3,D39&gt;G36),1)+IF(AND(J39=3,J37=3,E39&gt;G37),1)+IF(AND(J39=3,J38=3,F39&gt;G38),1)</f>
        <v>0</v>
      </c>
      <c r="L39" s="514">
        <f>IF(AND(J39=1,J35=1),C39-G35)+IF(AND(J39=1,J36=1),D39-G36)+IF(AND(J39=1,J37=1),E39-G37)+IF(AND(J39=1,J38=1),F39-G38)+IF(AND(J39=2,J35=2),C39-G35)+IF(AND(J39=2,J36=2),D39-G36)+IF(AND(J39=2,J37=2),E39-G37)+IF(AND(J39=2,J38=2),F39-G38)+IF(AND(J39=3,J35=3),C39-G35)+IF(AND(J39=3,J36=3),D39-G36)+IF(AND(J39=3,J37=3),E39-G37)+IF(AND(J39=3,J38=3),F39-G38)</f>
        <v>0</v>
      </c>
      <c r="M39" s="515">
        <f t="shared" si="18"/>
        <v>0</v>
      </c>
      <c r="P39" s="498"/>
      <c r="Q39" s="517"/>
      <c r="R39" s="499">
        <f t="shared" si="3"/>
        <v>0</v>
      </c>
      <c r="S39" s="603" t="str">
        <f t="shared" si="4"/>
        <v/>
      </c>
      <c r="T39" s="604" t="str">
        <f>IFERROR(INDEX(Reit!$I:$I,MATCH(S39,Reit!$F:$F,0)),"")</f>
        <v/>
      </c>
      <c r="U39" s="603" t="str">
        <f t="shared" si="5"/>
        <v/>
      </c>
      <c r="V39" s="604" t="str">
        <f>IFERROR(INDEX(Reit!$I:$I,MATCH(U39,Reit!$F:$F,0)),"")</f>
        <v/>
      </c>
      <c r="W39" s="603" t="str">
        <f t="shared" si="6"/>
        <v/>
      </c>
      <c r="X39" s="604" t="str">
        <f>IFERROR(INDEX(Reit!$I:$I,MATCH(W39,Reit!$F:$F,0)),"")</f>
        <v/>
      </c>
      <c r="Y39" s="605" t="str">
        <f t="shared" si="0"/>
        <v/>
      </c>
      <c r="Z39" s="604" t="str">
        <f>IFERROR(INDEX(Reit!$I:$I,MATCH(Y39,Reit!$F:$F,0)),"")</f>
        <v/>
      </c>
      <c r="AA39" s="603" t="str">
        <f t="shared" si="7"/>
        <v/>
      </c>
      <c r="AB39" s="604" t="str">
        <f>IFERROR(INDEX(Reit!$I:$I,MATCH(AA39,Reit!$F:$F,0)),"")</f>
        <v/>
      </c>
    </row>
    <row r="40" spans="1:28" s="506" customFormat="1" hidden="1" x14ac:dyDescent="0.2">
      <c r="A40" s="523"/>
      <c r="B40" s="524"/>
      <c r="C40" s="525"/>
      <c r="D40" s="526"/>
      <c r="E40" s="525"/>
      <c r="F40" s="527"/>
      <c r="H40" s="528"/>
      <c r="I40" s="529"/>
      <c r="J40" s="496"/>
      <c r="K40" s="530"/>
      <c r="L40" s="531"/>
      <c r="M40" s="496"/>
      <c r="N40" s="532"/>
      <c r="P40" s="498"/>
      <c r="Q40" s="277"/>
      <c r="R40" s="277"/>
      <c r="S40" s="277"/>
      <c r="T40" s="277"/>
      <c r="U40" s="277"/>
      <c r="V40" s="277"/>
      <c r="W40" s="277"/>
      <c r="X40" s="277"/>
      <c r="Y40" s="277"/>
      <c r="Z40" s="277"/>
      <c r="AA40" s="277"/>
      <c r="AB40" s="277"/>
    </row>
    <row r="41" spans="1:28" s="498" customFormat="1" hidden="1" x14ac:dyDescent="0.2">
      <c r="A41" s="500" t="s">
        <v>145</v>
      </c>
      <c r="B41" s="501"/>
      <c r="C41" s="502">
        <v>1</v>
      </c>
      <c r="D41" s="502">
        <v>2</v>
      </c>
      <c r="E41" s="502">
        <v>3</v>
      </c>
      <c r="F41" s="502">
        <v>4</v>
      </c>
      <c r="G41" s="502">
        <v>5</v>
      </c>
      <c r="H41" s="501" t="s">
        <v>363</v>
      </c>
      <c r="I41" s="501" t="s">
        <v>26</v>
      </c>
      <c r="J41" s="533" t="s">
        <v>156</v>
      </c>
      <c r="K41" s="504" t="s">
        <v>156</v>
      </c>
      <c r="L41" s="534" t="s">
        <v>364</v>
      </c>
      <c r="M41" s="535" t="b">
        <f>OR(AND(COUNTA(B42:B46)=3,COUNTA(C42:G46)=6),AND(COUNTA(B42:B46)=4,COUNTA(C42:G46)=12),AND(COUNTA(B42:B46)=5,COUNTA(C42:G46)=20))</f>
        <v>0</v>
      </c>
      <c r="N41" s="536"/>
      <c r="Q41" s="277"/>
      <c r="R41" s="277"/>
      <c r="S41" s="277"/>
      <c r="T41" s="277"/>
      <c r="U41" s="277"/>
      <c r="V41" s="277"/>
      <c r="W41" s="277"/>
      <c r="X41" s="277"/>
      <c r="Y41" s="277"/>
      <c r="Z41" s="277"/>
      <c r="AA41" s="277"/>
      <c r="AB41" s="277"/>
    </row>
    <row r="42" spans="1:28" s="498" customFormat="1" hidden="1" x14ac:dyDescent="0.2">
      <c r="A42" s="500">
        <v>1</v>
      </c>
      <c r="B42" s="508"/>
      <c r="C42" s="509"/>
      <c r="D42" s="510"/>
      <c r="E42" s="510"/>
      <c r="F42" s="510"/>
      <c r="G42" s="510"/>
      <c r="H42" s="511" t="str">
        <f>(IF(D42-C43&gt;0,1)+IF(E42-C44&gt;0,1)+IF(F42-C45&gt;0,1)+IF(G42-C46&gt;0,1))&amp;"-"&amp;(IF(D42-C43&lt;0,1)+IF(E42-C44&lt;0,1)+IF(F42-C45&lt;0,1)+IF(G42-C46&lt;0,1))</f>
        <v>0-0</v>
      </c>
      <c r="I42" s="510" t="str">
        <f>IF(AND(B42&lt;&gt;"",M$41=TRUE),A$41&amp;RANK(M42,M$42:VM$46,0),"")</f>
        <v/>
      </c>
      <c r="J42" s="512">
        <f>VALUE(LEFT(H42,1))</f>
        <v>0</v>
      </c>
      <c r="K42" s="513">
        <f>IF(AND(J42=1,J43=1,D42&gt;C43),1)+IF(AND(J42=1,J44=1,E42&gt;C44),1)+IF(AND(J42=1,J45=1,F42&gt;C45),1)+IF(AND(J42=1,J46=1,G42&gt;C46),1)+IF(AND(J42=2,J43=2,D42&gt;C43),1)+IF(AND(J42=2,J44=2,E42&gt;C44),1)+IF(AND(J42=2,J45=2,F42&gt;C45),1)+IF(AND(J42=2,J46=2,G42&gt;C46),1)+IF(AND(J42=3,J43=3,D42&gt;C43),1)+IF(AND(J42=3,J44=3,E42&gt;C44),1)+IF(AND(J42=3,J45=3,F42&gt;C45),1)+IF(AND(J42=3,J46=3,G42&gt;C46),1)</f>
        <v>0</v>
      </c>
      <c r="L42" s="514"/>
      <c r="M42" s="515">
        <f>10000*J42+K42*100+L42</f>
        <v>0</v>
      </c>
      <c r="N42"/>
      <c r="Q42" s="277"/>
      <c r="R42" s="499">
        <f t="shared" si="3"/>
        <v>0</v>
      </c>
      <c r="S42" s="603" t="str">
        <f t="shared" si="4"/>
        <v/>
      </c>
      <c r="T42" s="604" t="str">
        <f>IFERROR(INDEX(Reit!$I:$I,MATCH(S42,Reit!$F:$F,0)),"")</f>
        <v/>
      </c>
      <c r="U42" s="603" t="str">
        <f t="shared" si="5"/>
        <v/>
      </c>
      <c r="V42" s="604" t="str">
        <f>IFERROR(INDEX(Reit!$I:$I,MATCH(U42,Reit!$F:$F,0)),"")</f>
        <v/>
      </c>
      <c r="W42" s="603" t="str">
        <f t="shared" si="6"/>
        <v/>
      </c>
      <c r="X42" s="604" t="str">
        <f>IFERROR(INDEX(Reit!$I:$I,MATCH(W42,Reit!$F:$F,0)),"")</f>
        <v/>
      </c>
      <c r="Y42" s="605" t="str">
        <f t="shared" si="0"/>
        <v/>
      </c>
      <c r="Z42" s="604" t="str">
        <f>IFERROR(INDEX(Reit!$I:$I,MATCH(Y42,Reit!$F:$F,0)),"")</f>
        <v/>
      </c>
      <c r="AA42" s="603" t="str">
        <f t="shared" si="7"/>
        <v/>
      </c>
      <c r="AB42" s="604" t="str">
        <f>IFERROR(INDEX(Reit!$I:$I,MATCH(AA42,Reit!$F:$F,0)),"")</f>
        <v/>
      </c>
    </row>
    <row r="43" spans="1:28" s="498" customFormat="1" hidden="1" x14ac:dyDescent="0.2">
      <c r="A43" s="500">
        <v>2</v>
      </c>
      <c r="B43" s="518"/>
      <c r="C43" s="510"/>
      <c r="D43" s="509"/>
      <c r="E43" s="510"/>
      <c r="F43" s="510"/>
      <c r="G43" s="510"/>
      <c r="H43" s="511" t="str">
        <f>(IF(C43-D42&gt;0,1)+IF(E43-D44&gt;0,1)+IF(F43-D45&gt;0,1)+IF(G43-D46&gt;0,1))&amp;"-"&amp;(IF(C43-D42&lt;0,1)+IF(E43-D44&lt;0,1)+IF(F43-D45&lt;0,1)+IF(G43-D46&lt;0,1))</f>
        <v>0-0</v>
      </c>
      <c r="I43" s="510" t="str">
        <f>IF(AND(B43&lt;&gt;"",M$41=TRUE),A$41&amp;RANK(M43,M$42:VM$46,0),"")</f>
        <v/>
      </c>
      <c r="J43" s="512">
        <f t="shared" ref="J43:J46" si="19">VALUE(LEFT(H43,1))</f>
        <v>0</v>
      </c>
      <c r="K43" s="519">
        <f>IF(AND(J43=1,J42=1,C43&gt;D42),1)+IF(AND(J43=1,J44=1,E43&gt;D44),1)+IF(AND(J43=1,J45=1,F43&gt;D45),1)+IF(AND(J43=1,J46=1,G43&gt;D46),1)+IF(AND(J43=2,J42=2,C43&gt;D42),1)+IF(AND(J43=2,J44=2,E43&gt;D44),1)+IF(AND(J43=2,J45=2,F43&gt;D45),1)+IF(AND(J43=2,J46=2,G43&gt;D46),1)+IF(AND(J43=3,J42=3,C43&gt;D42),1)+IF(AND(J43=3,J44=3,E43&gt;D44),1)+IF(AND(J43=3,J45=3,F43&gt;D45),1)+IF(AND(J43=3,J46=3,G43&gt;D46),1)</f>
        <v>0</v>
      </c>
      <c r="L43" s="514">
        <f>IF(AND(J43=1,J42=1),C43-D42)+IF(AND(J43=1,J44=1),E43-D44)+IF(AND(J43=1,J45=1),F43-D45)+IF(AND(J43=1,J46=1),G43-D46)+IF(AND(J43=2,J42=2),C43-D42)+IF(AND(J43=2,J44=2),E43-D44)+IF(AND(J43=2,J45=2),F43-D45)+IF(AND(J43=2,J46=2),G43-D46)+IF(AND(J43=3,J42=3),C43-D42)+IF(AND(J43=3,J44=3),E43-D44)+IF(AND(J43=3,J45=3),F43-D45)+IF(AND(J43=3,J46=3),G43-D46)</f>
        <v>0</v>
      </c>
      <c r="M43" s="515">
        <f t="shared" ref="M43:M46" si="20">10000*J43+K43*100+L43</f>
        <v>0</v>
      </c>
      <c r="N43"/>
      <c r="Q43" s="277"/>
      <c r="R43" s="499">
        <f t="shared" si="3"/>
        <v>0</v>
      </c>
      <c r="S43" s="603" t="str">
        <f t="shared" si="4"/>
        <v/>
      </c>
      <c r="T43" s="604" t="str">
        <f>IFERROR(INDEX(Reit!$I:$I,MATCH(S43,Reit!$F:$F,0)),"")</f>
        <v/>
      </c>
      <c r="U43" s="603" t="str">
        <f t="shared" si="5"/>
        <v/>
      </c>
      <c r="V43" s="604" t="str">
        <f>IFERROR(INDEX(Reit!$I:$I,MATCH(U43,Reit!$F:$F,0)),"")</f>
        <v/>
      </c>
      <c r="W43" s="603" t="str">
        <f t="shared" si="6"/>
        <v/>
      </c>
      <c r="X43" s="604" t="str">
        <f>IFERROR(INDEX(Reit!$I:$I,MATCH(W43,Reit!$F:$F,0)),"")</f>
        <v/>
      </c>
      <c r="Y43" s="605" t="str">
        <f t="shared" si="0"/>
        <v/>
      </c>
      <c r="Z43" s="604" t="str">
        <f>IFERROR(INDEX(Reit!$I:$I,MATCH(Y43,Reit!$F:$F,0)),"")</f>
        <v/>
      </c>
      <c r="AA43" s="603" t="str">
        <f t="shared" si="7"/>
        <v/>
      </c>
      <c r="AB43" s="604" t="str">
        <f>IFERROR(INDEX(Reit!$I:$I,MATCH(AA43,Reit!$F:$F,0)),"")</f>
        <v/>
      </c>
    </row>
    <row r="44" spans="1:28" s="498" customFormat="1" hidden="1" x14ac:dyDescent="0.2">
      <c r="A44" s="500">
        <v>3</v>
      </c>
      <c r="B44" s="518"/>
      <c r="C44" s="510"/>
      <c r="D44" s="520"/>
      <c r="E44" s="509"/>
      <c r="F44" s="510"/>
      <c r="G44" s="510"/>
      <c r="H44" s="511" t="str">
        <f>(IF(C44-E42&gt;0,1)+IF(D44-E43&gt;0,1)+IF(F44-E45&gt;0,1)+IF(G44-E46&gt;0,1))&amp;"-"&amp;(IF(C44-E42&lt;0,1)+IF(D44-E43&lt;0,1)+IF(F44-E45&lt;0,1)+IF(G44-E46&lt;0,1))</f>
        <v>0-0</v>
      </c>
      <c r="I44" s="510" t="str">
        <f>IF(AND(B44&lt;&gt;"",M$41=TRUE),A$41&amp;RANK(M44,M$42:VM$46,0),"")</f>
        <v/>
      </c>
      <c r="J44" s="512">
        <f t="shared" si="19"/>
        <v>0</v>
      </c>
      <c r="K44" s="519">
        <f>IF(AND(J44=1,J42=1,C44&gt;E42),1)+IF(AND(J44=1,J43=1,D44&gt;E43),1)+IF(AND(J44=1,J45=1,F44&gt;E45),1)+IF(AND(J44=1,J46=1,G44&gt;E46),1)+IF(AND(J44=2,J42=2,C44&gt;E42),1)+IF(AND(J44=2,J43=2,D44&gt;E43),1)+IF(AND(J44=2,J45=2,F44&gt;E45),1)+IF(AND(J44=2,J46=2,G44&gt;E46),1)+IF(AND(J44=3,J42=3,C44&gt;E42),1)+IF(AND(J44=3,J43=3,D44&gt;E43),1)+IF(AND(J44=3,J45=3,F44&gt;E45),1)+IF(AND(J44=3,J46=3,G44&gt;E46),1)</f>
        <v>0</v>
      </c>
      <c r="L44" s="514">
        <f>IF(AND(J44=1,J42=1),C44-E42)+IF(AND(J44=1,J43=1),D44-E43)+IF(AND(J44=1,J45=1),F44-E45)+IF(AND(J44=1,J46=1),G44-E46)+IF(AND(J44=2,J42=2),C44-E42)+IF(AND(J44=2,J43=2),D44-E43)+IF(AND(J44=2,J45=2),F44-E45)+IF(AND(J44=2,J46=2),G44-E46)+IF(AND(J44=3,J42=3),C44-E42)+IF(AND(J44=3,J43=3),D44-E43)+IF(AND(J44=3,J45=3),F44-E45)+IF(AND(J44=3,J46=3),G44-E46)</f>
        <v>0</v>
      </c>
      <c r="M44" s="515">
        <f t="shared" si="20"/>
        <v>0</v>
      </c>
      <c r="N44"/>
      <c r="Q44" s="277"/>
      <c r="R44" s="499">
        <f t="shared" si="3"/>
        <v>0</v>
      </c>
      <c r="S44" s="603" t="str">
        <f t="shared" si="4"/>
        <v/>
      </c>
      <c r="T44" s="604" t="str">
        <f>IFERROR(INDEX(Reit!$I:$I,MATCH(S44,Reit!$F:$F,0)),"")</f>
        <v/>
      </c>
      <c r="U44" s="603" t="str">
        <f t="shared" si="5"/>
        <v/>
      </c>
      <c r="V44" s="604" t="str">
        <f>IFERROR(INDEX(Reit!$I:$I,MATCH(U44,Reit!$F:$F,0)),"")</f>
        <v/>
      </c>
      <c r="W44" s="603" t="str">
        <f t="shared" si="6"/>
        <v/>
      </c>
      <c r="X44" s="604" t="str">
        <f>IFERROR(INDEX(Reit!$I:$I,MATCH(W44,Reit!$F:$F,0)),"")</f>
        <v/>
      </c>
      <c r="Y44" s="605" t="str">
        <f t="shared" si="0"/>
        <v/>
      </c>
      <c r="Z44" s="604" t="str">
        <f>IFERROR(INDEX(Reit!$I:$I,MATCH(Y44,Reit!$F:$F,0)),"")</f>
        <v/>
      </c>
      <c r="AA44" s="603" t="str">
        <f t="shared" si="7"/>
        <v/>
      </c>
      <c r="AB44" s="604" t="str">
        <f>IFERROR(INDEX(Reit!$I:$I,MATCH(AA44,Reit!$F:$F,0)),"")</f>
        <v/>
      </c>
    </row>
    <row r="45" spans="1:28" s="498" customFormat="1" hidden="1" x14ac:dyDescent="0.2">
      <c r="A45" s="500">
        <v>4</v>
      </c>
      <c r="B45" s="521"/>
      <c r="C45" s="510"/>
      <c r="D45" s="520"/>
      <c r="E45" s="510"/>
      <c r="F45" s="509"/>
      <c r="G45" s="522"/>
      <c r="H45" s="511" t="str">
        <f>(IF(C45-F42&gt;0,1)+IF(D45-F43&gt;0,1)+IF(E45-F44&gt;0,1)+IF(G45-F46&gt;0,1))&amp;"-"&amp;(IF(C45-F42&lt;0,1)+IF(D45-F43&lt;0,1)+IF(E45-F44&lt;0,1)+IF(G45-F46&lt;0,1))</f>
        <v>0-0</v>
      </c>
      <c r="I45" s="510" t="str">
        <f>IF(AND(B45&lt;&gt;"",M$41=TRUE),A$41&amp;RANK(M45,M$42:VM$46,0),"")</f>
        <v/>
      </c>
      <c r="J45" s="512">
        <f t="shared" si="19"/>
        <v>0</v>
      </c>
      <c r="K45" s="519">
        <f>IF(AND(J45=1,J42=1,C45&gt;F42),1)+IF(AND(J45=1,J43=1,D45&gt;F43),1)+IF(AND(J45=1,J44=1,E45&gt;F44),1)+IF(AND(J45=1,J46=1,G45&gt;F46),1)+IF(AND(J45=2,J42=2,C45&gt;F42),1)+IF(AND(J45=2,J43=2,D45&gt;F43),1)+IF(AND(J45=2,J44=2,E45&gt;F44),1)+IF(AND(J45=2,J46=2,G45&gt;F46),1)+IF(AND(J45=3,J42=3,C45&gt;F42),1)+IF(AND(J45=3,J43=3,D45&gt;F43),1)+IF(AND(J45=3,J44=3,E45&gt;F44),1)+IF(AND(J45=3,J46=3,G45&gt;F46),1)</f>
        <v>0</v>
      </c>
      <c r="L45" s="514">
        <f>IF(AND(J45=1,J42=1),C45-F42)+IF(AND(J45=1,J43=1),D45-F43)+IF(AND(J45=1,J44=1),E45-F44)+IF(AND(J45=1,J46=1),G45-F46)+IF(AND(J45=2,J42=2),C45-F42)+IF(AND(J45=2,J43=2),D45-F43)+IF(AND(J45=2,J44=2),E45-F44)+IF(AND(J45=2,J46=2),G45-F46)+IF(AND(J45=3,J42=3),C45-F42)+IF(AND(J45=3,J43=3),D45-F43)+IF(AND(J45=3,J44=3),E45-F44)+IF(AND(J45=3,J46=3),G45-F46)</f>
        <v>0</v>
      </c>
      <c r="M45" s="515">
        <f t="shared" si="20"/>
        <v>0</v>
      </c>
      <c r="Q45" s="277"/>
      <c r="R45" s="499">
        <f t="shared" si="3"/>
        <v>0</v>
      </c>
      <c r="S45" s="603" t="str">
        <f t="shared" si="4"/>
        <v/>
      </c>
      <c r="T45" s="604" t="str">
        <f>IFERROR(INDEX(Reit!$I:$I,MATCH(S45,Reit!$F:$F,0)),"")</f>
        <v/>
      </c>
      <c r="U45" s="603" t="str">
        <f t="shared" si="5"/>
        <v/>
      </c>
      <c r="V45" s="604" t="str">
        <f>IFERROR(INDEX(Reit!$I:$I,MATCH(U45,Reit!$F:$F,0)),"")</f>
        <v/>
      </c>
      <c r="W45" s="603" t="str">
        <f t="shared" si="6"/>
        <v/>
      </c>
      <c r="X45" s="604" t="str">
        <f>IFERROR(INDEX(Reit!$I:$I,MATCH(W45,Reit!$F:$F,0)),"")</f>
        <v/>
      </c>
      <c r="Y45" s="605" t="str">
        <f t="shared" si="0"/>
        <v/>
      </c>
      <c r="Z45" s="604" t="str">
        <f>IFERROR(INDEX(Reit!$I:$I,MATCH(Y45,Reit!$F:$F,0)),"")</f>
        <v/>
      </c>
      <c r="AA45" s="603" t="str">
        <f t="shared" si="7"/>
        <v/>
      </c>
      <c r="AB45" s="604" t="str">
        <f>IFERROR(INDEX(Reit!$I:$I,MATCH(AA45,Reit!$F:$F,0)),"")</f>
        <v/>
      </c>
    </row>
    <row r="46" spans="1:28" s="498" customFormat="1" hidden="1" x14ac:dyDescent="0.2">
      <c r="A46" s="500">
        <v>5</v>
      </c>
      <c r="B46" s="521"/>
      <c r="C46" s="510"/>
      <c r="D46" s="510"/>
      <c r="E46" s="510"/>
      <c r="F46" s="510"/>
      <c r="G46" s="509"/>
      <c r="H46" s="511" t="str">
        <f>(IF(C46-G42&gt;0,1)+IF(D46-G43&gt;0,1)+IF(E46-G44&gt;0,1)+IF(F46-G45&gt;0,1))&amp;"-"&amp;(IF(C46-G42&lt;0,1)+IF(D46-G43&lt;0,1)+IF(E46-G44&lt;0,1)+IF(F46-G45&lt;0,1))</f>
        <v>0-0</v>
      </c>
      <c r="I46" s="510" t="str">
        <f>IF(AND(B46&lt;&gt;"",M$41=TRUE),A$41&amp;RANK(M46,M$42:VM$46,0),"")</f>
        <v/>
      </c>
      <c r="J46" s="512">
        <f t="shared" si="19"/>
        <v>0</v>
      </c>
      <c r="K46" s="519">
        <f>IF(AND(J46=1,J42=1,C46&gt;G42),1)+IF(AND(J46=1,J43=1,D46&gt;G43),1)+IF(AND(J46=1,J44=1,E46&gt;G44),1)+IF(AND(J46=1,J45=1,F46&gt;G45),1)+IF(AND(J46=2,J42=2,C46&gt;G42),1)+IF(AND(J46=2,J43=2,D46&gt;G43),1)+IF(AND(J46=2,J44=2,E46&gt;G44),1)+IF(AND(J46=2,J45=2,F46&gt;G45),1)+IF(AND(J46=3,J42=3,C46&gt;G42),1)+IF(AND(J46=3,J43=3,D46&gt;G43),1)+IF(AND(J46=3,J44=3,E46&gt;G44),1)+IF(AND(J46=3,J45=3,F46&gt;G45),1)</f>
        <v>0</v>
      </c>
      <c r="L46" s="514">
        <f>IF(AND(J46=1,J42=1),C46-G42)+IF(AND(J46=1,J43=1),D46-G43)+IF(AND(J46=1,J44=1),E46-G44)+IF(AND(J46=1,J45=1),F46-G45)+IF(AND(J46=2,J42=2),C46-G42)+IF(AND(J46=2,J43=2),D46-G43)+IF(AND(J46=2,J44=2),E46-G44)+IF(AND(J46=2,J45=2),F46-G45)+IF(AND(J46=3,J42=3),C46-G42)+IF(AND(J46=3,J43=3),D46-G43)+IF(AND(J46=3,J44=3),E46-G44)+IF(AND(J46=3,J45=3),F46-G45)</f>
        <v>0</v>
      </c>
      <c r="M46" s="515">
        <f t="shared" si="20"/>
        <v>0</v>
      </c>
      <c r="Q46" s="277"/>
      <c r="R46" s="499">
        <f t="shared" si="3"/>
        <v>0</v>
      </c>
      <c r="S46" s="603" t="str">
        <f t="shared" si="4"/>
        <v/>
      </c>
      <c r="T46" s="604" t="str">
        <f>IFERROR(INDEX(Reit!$I:$I,MATCH(S46,Reit!$F:$F,0)),"")</f>
        <v/>
      </c>
      <c r="U46" s="603" t="str">
        <f t="shared" si="5"/>
        <v/>
      </c>
      <c r="V46" s="604" t="str">
        <f>IFERROR(INDEX(Reit!$I:$I,MATCH(U46,Reit!$F:$F,0)),"")</f>
        <v/>
      </c>
      <c r="W46" s="603" t="str">
        <f t="shared" si="6"/>
        <v/>
      </c>
      <c r="X46" s="604" t="str">
        <f>IFERROR(INDEX(Reit!$I:$I,MATCH(W46,Reit!$F:$F,0)),"")</f>
        <v/>
      </c>
      <c r="Y46" s="605" t="str">
        <f t="shared" si="0"/>
        <v/>
      </c>
      <c r="Z46" s="604" t="str">
        <f>IFERROR(INDEX(Reit!$I:$I,MATCH(Y46,Reit!$F:$F,0)),"")</f>
        <v/>
      </c>
      <c r="AA46" s="603" t="str">
        <f t="shared" si="7"/>
        <v/>
      </c>
      <c r="AB46" s="604" t="str">
        <f>IFERROR(INDEX(Reit!$I:$I,MATCH(AA46,Reit!$F:$F,0)),"")</f>
        <v/>
      </c>
    </row>
    <row r="47" spans="1:28" s="506" customFormat="1" hidden="1" x14ac:dyDescent="0.2">
      <c r="A47" s="523"/>
      <c r="B47" s="524"/>
      <c r="C47" s="525"/>
      <c r="D47" s="526"/>
      <c r="E47" s="525"/>
      <c r="F47" s="527"/>
      <c r="H47" s="528"/>
      <c r="I47" s="529"/>
      <c r="J47" s="496"/>
      <c r="K47" s="537"/>
      <c r="L47" s="531"/>
      <c r="M47" s="496"/>
      <c r="N47"/>
      <c r="P47" s="498"/>
      <c r="Q47" s="277"/>
      <c r="R47" s="277"/>
      <c r="S47" s="277"/>
      <c r="T47" s="277"/>
      <c r="U47" s="277"/>
      <c r="V47" s="277"/>
      <c r="W47" s="277"/>
      <c r="X47" s="277"/>
      <c r="Y47" s="277"/>
      <c r="Z47" s="277"/>
      <c r="AA47" s="277"/>
      <c r="AB47" s="277"/>
    </row>
    <row r="48" spans="1:28" s="498" customFormat="1" hidden="1" x14ac:dyDescent="0.2">
      <c r="A48" s="500" t="s">
        <v>146</v>
      </c>
      <c r="B48" s="501"/>
      <c r="C48" s="502">
        <v>1</v>
      </c>
      <c r="D48" s="502">
        <v>2</v>
      </c>
      <c r="E48" s="502">
        <v>3</v>
      </c>
      <c r="F48" s="502">
        <v>4</v>
      </c>
      <c r="G48" s="502">
        <v>5</v>
      </c>
      <c r="H48" s="501" t="s">
        <v>363</v>
      </c>
      <c r="I48" s="501" t="s">
        <v>26</v>
      </c>
      <c r="J48" s="533" t="s">
        <v>156</v>
      </c>
      <c r="K48" s="504" t="s">
        <v>156</v>
      </c>
      <c r="L48" s="534" t="s">
        <v>364</v>
      </c>
      <c r="M48" s="535" t="b">
        <f>OR(AND(COUNTA(B49:B53)=3,COUNTA(C49:G53)=6),AND(COUNTA(B49:B53)=4,COUNTA(C49:G53)=12),AND(COUNTA(B49:B53)=5,COUNTA(C49:G53)=20))</f>
        <v>0</v>
      </c>
      <c r="Q48" s="277"/>
      <c r="R48" s="277"/>
      <c r="S48" s="277"/>
      <c r="T48" s="277"/>
      <c r="U48" s="277"/>
      <c r="V48" s="277"/>
      <c r="W48" s="277"/>
      <c r="X48" s="277"/>
      <c r="Y48" s="277"/>
      <c r="Z48" s="277"/>
      <c r="AA48" s="277"/>
      <c r="AB48" s="277"/>
    </row>
    <row r="49" spans="1:28" s="498" customFormat="1" hidden="1" x14ac:dyDescent="0.2">
      <c r="A49" s="500">
        <v>1</v>
      </c>
      <c r="B49" s="508"/>
      <c r="C49" s="509"/>
      <c r="D49" s="510"/>
      <c r="E49" s="510"/>
      <c r="F49" s="510"/>
      <c r="G49" s="510"/>
      <c r="H49" s="511" t="str">
        <f>(IF(D49-C50&gt;0,1)+IF(E49-C51&gt;0,1)+IF(F49-C52&gt;0,1)+IF(G49-C53&gt;0,1))&amp;"-"&amp;(IF(D49-C50&lt;0,1)+IF(E49-C51&lt;0,1)+IF(F49-C52&lt;0,1)+IF(G49-C53&lt;0,1))</f>
        <v>0-0</v>
      </c>
      <c r="I49" s="510" t="str">
        <f>IF(AND(B49&lt;&gt;"",M$48=TRUE),A$48&amp;RANK(M49,M$49:M$53,0),"")</f>
        <v/>
      </c>
      <c r="J49" s="512">
        <f>VALUE(LEFT(H49,1))</f>
        <v>0</v>
      </c>
      <c r="K49" s="513">
        <f>IF(AND(J49=1,J50=1,D49&gt;C50),1)+IF(AND(J49=1,J51=1,E49&gt;C51),1)+IF(AND(J49=1,J52=1,F49&gt;C52),1)+IF(AND(J49=1,J53=1,G49&gt;C53),1)+IF(AND(J49=2,J50=2,D49&gt;C50),1)+IF(AND(J49=2,J51=2,E49&gt;C51),1)+IF(AND(J49=2,J52=2,F49&gt;C52),1)+IF(AND(J49=2,J53=2,G49&gt;C53),1)+IF(AND(J49=3,J50=3,D49&gt;C50),1)+IF(AND(J49=3,J51=3,E49&gt;C51),1)+IF(AND(J49=3,J52=3,F49&gt;C52),1)+IF(AND(J49=3,J53=3,G49&gt;C53),1)</f>
        <v>0</v>
      </c>
      <c r="L49" s="514">
        <f>IF(AND(J49=1,J50=1),D49-C50)+IF(AND(J49=1,J51=1),E49-C51)+IF(AND(J49=1,J52=1),F49-C52)+IF(AND(J49=1,J53=1),G49-C53)+IF(AND(J49=2,J50=2),D49-C50)+IF(AND(J49=2,J51=2),E49-C51)+IF(AND(J49=2,J52=2),F49-C52)+IF(AND(J49=2,J53=2),G49-C53)+IF(AND(J49=3,J50=3),D49-C50)+IF(AND(J49=3,J51=3),E49-C51)+IF(AND(J49=3,J52=3),F49-C52)+IF(AND(J49=3,J53=3),G49-C53)</f>
        <v>0</v>
      </c>
      <c r="M49" s="515">
        <f>10000*J49+K49*100+L49</f>
        <v>0</v>
      </c>
      <c r="N49"/>
      <c r="Q49" s="277"/>
      <c r="R49" s="499">
        <f t="shared" si="3"/>
        <v>0</v>
      </c>
      <c r="S49" s="603" t="str">
        <f t="shared" si="4"/>
        <v/>
      </c>
      <c r="T49" s="604" t="str">
        <f>IFERROR(INDEX(Reit!$I:$I,MATCH(S49,Reit!$F:$F,0)),"")</f>
        <v/>
      </c>
      <c r="U49" s="603" t="str">
        <f t="shared" si="5"/>
        <v/>
      </c>
      <c r="V49" s="604" t="str">
        <f>IFERROR(INDEX(Reit!$I:$I,MATCH(U49,Reit!$F:$F,0)),"")</f>
        <v/>
      </c>
      <c r="W49" s="603" t="str">
        <f t="shared" si="6"/>
        <v/>
      </c>
      <c r="X49" s="604" t="str">
        <f>IFERROR(INDEX(Reit!$I:$I,MATCH(W49,Reit!$F:$F,0)),"")</f>
        <v/>
      </c>
      <c r="Y49" s="605" t="str">
        <f t="shared" si="0"/>
        <v/>
      </c>
      <c r="Z49" s="604" t="str">
        <f>IFERROR(INDEX(Reit!$I:$I,MATCH(Y49,Reit!$F:$F,0)),"")</f>
        <v/>
      </c>
      <c r="AA49" s="603" t="str">
        <f t="shared" si="7"/>
        <v/>
      </c>
      <c r="AB49" s="604" t="str">
        <f>IFERROR(INDEX(Reit!$I:$I,MATCH(AA49,Reit!$F:$F,0)),"")</f>
        <v/>
      </c>
    </row>
    <row r="50" spans="1:28" s="498" customFormat="1" hidden="1" x14ac:dyDescent="0.2">
      <c r="A50" s="500">
        <v>2</v>
      </c>
      <c r="B50" s="518"/>
      <c r="C50" s="510"/>
      <c r="D50" s="509"/>
      <c r="E50" s="510"/>
      <c r="F50" s="510"/>
      <c r="G50" s="510"/>
      <c r="H50" s="511" t="str">
        <f>(IF(C50-D49&gt;0,1)+IF(E50-D51&gt;0,1)+IF(F50-D52&gt;0,1)+IF(G50-D53&gt;0,1))&amp;"-"&amp;(IF(C50-D49&lt;0,1)+IF(E50-D51&lt;0,1)+IF(F50-D52&lt;0,1)+IF(G50-D53&lt;0,1))</f>
        <v>0-0</v>
      </c>
      <c r="I50" s="510" t="str">
        <f>IF(AND(B50&lt;&gt;"",M$48=TRUE),A$48&amp;RANK(M50,M$49:M$53,0),"")</f>
        <v/>
      </c>
      <c r="J50" s="512">
        <f t="shared" ref="J50:J53" si="21">VALUE(LEFT(H50,1))</f>
        <v>0</v>
      </c>
      <c r="K50" s="519">
        <f>IF(AND(J50=1,J49=1,C50&gt;D49),1)+IF(AND(J50=1,J51=1,E50&gt;D51),1)+IF(AND(J50=1,J52=1,F50&gt;D52),1)+IF(AND(J50=1,J53=1,G50&gt;D53),1)+IF(AND(J50=2,J49=2,C50&gt;D49),1)+IF(AND(J50=2,J51=2,E50&gt;D51),1)+IF(AND(J50=2,J52=2,F50&gt;D52),1)+IF(AND(J50=2,J53=2,G50&gt;D53),1)+IF(AND(J50=3,J49=3,C50&gt;D49),1)+IF(AND(J50=3,J51=3,E50&gt;D51),1)+IF(AND(J50=3,J52=3,F50&gt;D52),1)+IF(AND(J50=3,J53=3,G50&gt;D53),1)</f>
        <v>0</v>
      </c>
      <c r="L50" s="514">
        <f>IF(AND(J50=1,J49=1),C50-D49)+IF(AND(J50=1,J51=1),E50-D51)+IF(AND(J50=1,J52=1),F50-D52)+IF(AND(J50=1,J53=1),G50-D53)+IF(AND(J50=2,J49=2),C50-D49)+IF(AND(J50=2,J51=2),E50-D51)+IF(AND(J50=2,J52=2),F50-D52)+IF(AND(J50=2,J53=2),G50-D53)+IF(AND(J50=3,J49=3),C50-D49)+IF(AND(J50=3,J51=3),E50-D51)+IF(AND(J50=3,J52=3),F50-D52)+IF(AND(J50=3,J53=3),G50-D53)</f>
        <v>0</v>
      </c>
      <c r="M50" s="515">
        <f t="shared" ref="M50:M53" si="22">10000*J50+K50*100+L50</f>
        <v>0</v>
      </c>
      <c r="Q50" s="277"/>
      <c r="R50" s="499">
        <f t="shared" si="3"/>
        <v>0</v>
      </c>
      <c r="S50" s="603" t="str">
        <f t="shared" si="4"/>
        <v/>
      </c>
      <c r="T50" s="604" t="str">
        <f>IFERROR(INDEX(Reit!$I:$I,MATCH(S50,Reit!$F:$F,0)),"")</f>
        <v/>
      </c>
      <c r="U50" s="603" t="str">
        <f t="shared" si="5"/>
        <v/>
      </c>
      <c r="V50" s="604" t="str">
        <f>IFERROR(INDEX(Reit!$I:$I,MATCH(U50,Reit!$F:$F,0)),"")</f>
        <v/>
      </c>
      <c r="W50" s="603" t="str">
        <f t="shared" si="6"/>
        <v/>
      </c>
      <c r="X50" s="604" t="str">
        <f>IFERROR(INDEX(Reit!$I:$I,MATCH(W50,Reit!$F:$F,0)),"")</f>
        <v/>
      </c>
      <c r="Y50" s="605" t="str">
        <f t="shared" si="0"/>
        <v/>
      </c>
      <c r="Z50" s="604" t="str">
        <f>IFERROR(INDEX(Reit!$I:$I,MATCH(Y50,Reit!$F:$F,0)),"")</f>
        <v/>
      </c>
      <c r="AA50" s="603" t="str">
        <f t="shared" si="7"/>
        <v/>
      </c>
      <c r="AB50" s="604" t="str">
        <f>IFERROR(INDEX(Reit!$I:$I,MATCH(AA50,Reit!$F:$F,0)),"")</f>
        <v/>
      </c>
    </row>
    <row r="51" spans="1:28" s="498" customFormat="1" hidden="1" x14ac:dyDescent="0.2">
      <c r="A51" s="500">
        <v>3</v>
      </c>
      <c r="B51" s="518"/>
      <c r="C51" s="510"/>
      <c r="D51" s="520"/>
      <c r="E51" s="509"/>
      <c r="F51" s="510"/>
      <c r="G51" s="510"/>
      <c r="H51" s="511" t="str">
        <f>(IF(C51-E49&gt;0,1)+IF(D51-E50&gt;0,1)+IF(F51-E52&gt;0,1)+IF(G51-E53&gt;0,1))&amp;"-"&amp;(IF(C51-E49&lt;0,1)+IF(D51-E50&lt;0,1)+IF(F51-E52&lt;0,1)+IF(G51-E53&lt;0,1))</f>
        <v>0-0</v>
      </c>
      <c r="I51" s="510" t="str">
        <f>IF(AND(B51&lt;&gt;"",M$48=TRUE),A$48&amp;RANK(M51,M$49:M$53,0),"")</f>
        <v/>
      </c>
      <c r="J51" s="512">
        <f t="shared" si="21"/>
        <v>0</v>
      </c>
      <c r="K51" s="519">
        <f>IF(AND(J51=1,J49=1,C51&gt;E49),1)+IF(AND(J51=1,J50=1,D51&gt;E50),1)+IF(AND(J51=1,J52=1,F51&gt;E52),1)+IF(AND(J51=1,J53=1,G51&gt;E53),1)+IF(AND(J51=2,J49=2,C51&gt;E49),1)+IF(AND(J51=2,J50=2,D51&gt;E50),1)+IF(AND(J51=2,J52=2,F51&gt;E52),1)+IF(AND(J51=2,J53=2,G51&gt;E53),1)+IF(AND(J51=3,J49=3,C51&gt;E49),1)+IF(AND(J51=3,J50=3,D51&gt;E50),1)+IF(AND(J51=3,J52=3,F51&gt;E52),1)+IF(AND(J51=3,J53=3,G51&gt;E53),1)</f>
        <v>0</v>
      </c>
      <c r="L51" s="514">
        <f>IF(AND(J51=1,J49=1),C51-E49)+IF(AND(J51=1,J50=1),D51-E50)+IF(AND(J51=1,J52=1),F51-E52)+IF(AND(J51=1,J53=1),G51-E53)+IF(AND(J51=2,J49=2),C51-E49)+IF(AND(J51=2,J50=2),D51-E50)+IF(AND(J51=2,J52=2),F51-E52)+IF(AND(J51=2,J53=2),G51-E53)+IF(AND(J51=3,J49=3),C51-E49)+IF(AND(J51=3,J50=3),D51-E50)+IF(AND(J51=3,J52=3),F51-E52)+IF(AND(J51=3,J53=3),G51-E53)</f>
        <v>0</v>
      </c>
      <c r="M51" s="515">
        <f t="shared" si="22"/>
        <v>0</v>
      </c>
      <c r="N51" s="536"/>
      <c r="Q51" s="277"/>
      <c r="R51" s="499">
        <f t="shared" si="3"/>
        <v>0</v>
      </c>
      <c r="S51" s="603" t="str">
        <f t="shared" si="4"/>
        <v/>
      </c>
      <c r="T51" s="604" t="str">
        <f>IFERROR(INDEX(Reit!$I:$I,MATCH(S51,Reit!$F:$F,0)),"")</f>
        <v/>
      </c>
      <c r="U51" s="603" t="str">
        <f t="shared" si="5"/>
        <v/>
      </c>
      <c r="V51" s="604" t="str">
        <f>IFERROR(INDEX(Reit!$I:$I,MATCH(U51,Reit!$F:$F,0)),"")</f>
        <v/>
      </c>
      <c r="W51" s="603" t="str">
        <f t="shared" si="6"/>
        <v/>
      </c>
      <c r="X51" s="604" t="str">
        <f>IFERROR(INDEX(Reit!$I:$I,MATCH(W51,Reit!$F:$F,0)),"")</f>
        <v/>
      </c>
      <c r="Y51" s="605" t="str">
        <f t="shared" si="0"/>
        <v/>
      </c>
      <c r="Z51" s="604" t="str">
        <f>IFERROR(INDEX(Reit!$I:$I,MATCH(Y51,Reit!$F:$F,0)),"")</f>
        <v/>
      </c>
      <c r="AA51" s="603" t="str">
        <f t="shared" si="7"/>
        <v/>
      </c>
      <c r="AB51" s="604" t="str">
        <f>IFERROR(INDEX(Reit!$I:$I,MATCH(AA51,Reit!$F:$F,0)),"")</f>
        <v/>
      </c>
    </row>
    <row r="52" spans="1:28" s="498" customFormat="1" hidden="1" x14ac:dyDescent="0.2">
      <c r="A52" s="500">
        <v>4</v>
      </c>
      <c r="B52" s="521"/>
      <c r="C52" s="510"/>
      <c r="D52" s="520"/>
      <c r="E52" s="510"/>
      <c r="F52" s="509"/>
      <c r="G52" s="522"/>
      <c r="H52" s="511" t="str">
        <f>(IF(C52-F49&gt;0,1)+IF(D52-F50&gt;0,1)+IF(E52-F51&gt;0,1)+IF(G52-F53&gt;0,1))&amp;"-"&amp;(IF(C52-F49&lt;0,1)+IF(D52-F50&lt;0,1)+IF(E52-F51&lt;0,1)+IF(G52-F53&lt;0,1))</f>
        <v>0-0</v>
      </c>
      <c r="I52" s="510" t="str">
        <f>IF(AND(B52&lt;&gt;"",M$48=TRUE),A$48&amp;RANK(M52,M$49:M$53,0),"")</f>
        <v/>
      </c>
      <c r="J52" s="512">
        <f t="shared" si="21"/>
        <v>0</v>
      </c>
      <c r="K52" s="519">
        <f>IF(AND(J52=1,J49=1,C52&gt;F49),1)+IF(AND(J52=1,J50=1,D52&gt;F50),1)+IF(AND(J52=1,J51=1,E52&gt;F51),1)+IF(AND(J52=1,J53=1,G52&gt;F53),1)+IF(AND(J52=2,J49=2,C52&gt;F49),1)+IF(AND(J52=2,J50=2,D52&gt;F50),1)+IF(AND(J52=2,J51=2,E52&gt;F51),1)+IF(AND(J52=2,J53=2,G52&gt;F53),1)+IF(AND(J52=3,J49=3,C52&gt;F49),1)+IF(AND(J52=3,J50=3,D52&gt;F50),1)+IF(AND(J52=3,J51=3,E52&gt;F51),1)+IF(AND(J52=3,J53=3,G52&gt;F53),1)</f>
        <v>0</v>
      </c>
      <c r="L52" s="514">
        <f>IF(AND(J52=1,J49=1),C52-F49)+IF(AND(J52=1,J50=1),D52-F50)+IF(AND(J52=1,J51=1),E52-F51)+IF(AND(J52=1,J53=1),G52-F53)+IF(AND(J52=2,J49=2),C52-F49)+IF(AND(J52=2,J50=2),D52-F50)+IF(AND(J52=2,J51=2),E52-F51)+IF(AND(J52=2,J53=2),G52-F53)+IF(AND(J52=3,J49=3),C52-F49)+IF(AND(J52=3,J50=3),D52-F50)+IF(AND(J52=3,J51=3),E52-F51)+IF(AND(J52=3,J53=3),G52-F53)</f>
        <v>0</v>
      </c>
      <c r="M52" s="515">
        <f t="shared" si="22"/>
        <v>0</v>
      </c>
      <c r="N52"/>
      <c r="Q52" s="277"/>
      <c r="R52" s="499">
        <f t="shared" si="3"/>
        <v>0</v>
      </c>
      <c r="S52" s="603" t="str">
        <f t="shared" si="4"/>
        <v/>
      </c>
      <c r="T52" s="604" t="str">
        <f>IFERROR(INDEX(Reit!$I:$I,MATCH(S52,Reit!$F:$F,0)),"")</f>
        <v/>
      </c>
      <c r="U52" s="603" t="str">
        <f t="shared" si="5"/>
        <v/>
      </c>
      <c r="V52" s="604" t="str">
        <f>IFERROR(INDEX(Reit!$I:$I,MATCH(U52,Reit!$F:$F,0)),"")</f>
        <v/>
      </c>
      <c r="W52" s="603" t="str">
        <f t="shared" si="6"/>
        <v/>
      </c>
      <c r="X52" s="604" t="str">
        <f>IFERROR(INDEX(Reit!$I:$I,MATCH(W52,Reit!$F:$F,0)),"")</f>
        <v/>
      </c>
      <c r="Y52" s="605" t="str">
        <f t="shared" si="0"/>
        <v/>
      </c>
      <c r="Z52" s="604" t="str">
        <f>IFERROR(INDEX(Reit!$I:$I,MATCH(Y52,Reit!$F:$F,0)),"")</f>
        <v/>
      </c>
      <c r="AA52" s="603" t="str">
        <f t="shared" si="7"/>
        <v/>
      </c>
      <c r="AB52" s="604" t="str">
        <f>IFERROR(INDEX(Reit!$I:$I,MATCH(AA52,Reit!$F:$F,0)),"")</f>
        <v/>
      </c>
    </row>
    <row r="53" spans="1:28" s="498" customFormat="1" hidden="1" x14ac:dyDescent="0.2">
      <c r="A53" s="500">
        <v>5</v>
      </c>
      <c r="B53" s="521"/>
      <c r="C53" s="510"/>
      <c r="D53" s="510"/>
      <c r="E53" s="510"/>
      <c r="F53" s="510"/>
      <c r="G53" s="509"/>
      <c r="H53" s="511" t="str">
        <f>(IF(C53-G49&gt;0,1)+IF(D53-G50&gt;0,1)+IF(E53-G51&gt;0,1)+IF(F53-G52&gt;0,1))&amp;"-"&amp;(IF(C53-G49&lt;0,1)+IF(D53-G50&lt;0,1)+IF(E53-G51&lt;0,1)+IF(F53-G52&lt;0,1))</f>
        <v>0-0</v>
      </c>
      <c r="I53" s="510" t="str">
        <f>IF(AND(B53&lt;&gt;"",M$48=TRUE),A$48&amp;RANK(M53,M$49:M$53,0),"")</f>
        <v/>
      </c>
      <c r="J53" s="512">
        <f t="shared" si="21"/>
        <v>0</v>
      </c>
      <c r="K53" s="519">
        <f>IF(AND(J53=1,J49=1,C53&gt;G49),1)+IF(AND(J53=1,J50=1,D53&gt;G50),1)+IF(AND(J53=1,J51=1,E53&gt;G51),1)+IF(AND(J53=1,J52=1,F53&gt;G52),1)+IF(AND(J53=2,J49=2,C53&gt;G49),1)+IF(AND(J53=2,J50=2,D53&gt;G50),1)+IF(AND(J53=2,J51=2,E53&gt;G51),1)+IF(AND(J53=2,J52=2,F53&gt;G52),1)+IF(AND(J53=3,J49=3,C53&gt;G49),1)+IF(AND(J53=3,J50=3,D53&gt;G50),1)+IF(AND(J53=3,J51=3,E53&gt;G51),1)+IF(AND(J53=3,J52=3,F53&gt;G52),1)</f>
        <v>0</v>
      </c>
      <c r="L53" s="514">
        <f>IF(AND(J53=1,J49=1),C53-G49)+IF(AND(J53=1,J50=1),D53-G50)+IF(AND(J53=1,J51=1),E53-G51)+IF(AND(J53=1,J52=1),F53-G52)+IF(AND(J53=2,J49=2),C53-G49)+IF(AND(J53=2,J50=2),D53-G50)+IF(AND(J53=2,J51=2),E53-G51)+IF(AND(J53=2,J52=2),F53-G52)+IF(AND(J53=3,J49=3),C53-G49)+IF(AND(J53=3,J50=3),D53-G50)+IF(AND(J53=3,J51=3),E53-G51)+IF(AND(J53=3,J52=3),F53-G52)</f>
        <v>0</v>
      </c>
      <c r="M53" s="515">
        <f t="shared" si="22"/>
        <v>0</v>
      </c>
      <c r="Q53" s="277"/>
      <c r="R53" s="499">
        <f t="shared" si="3"/>
        <v>0</v>
      </c>
      <c r="S53" s="603" t="str">
        <f t="shared" si="4"/>
        <v/>
      </c>
      <c r="T53" s="604" t="str">
        <f>IFERROR(INDEX(Reit!$I:$I,MATCH(S53,Reit!$F:$F,0)),"")</f>
        <v/>
      </c>
      <c r="U53" s="603" t="str">
        <f t="shared" si="5"/>
        <v/>
      </c>
      <c r="V53" s="604" t="str">
        <f>IFERROR(INDEX(Reit!$I:$I,MATCH(U53,Reit!$F:$F,0)),"")</f>
        <v/>
      </c>
      <c r="W53" s="603" t="str">
        <f t="shared" si="6"/>
        <v/>
      </c>
      <c r="X53" s="604" t="str">
        <f>IFERROR(INDEX(Reit!$I:$I,MATCH(W53,Reit!$F:$F,0)),"")</f>
        <v/>
      </c>
      <c r="Y53" s="605" t="str">
        <f t="shared" si="0"/>
        <v/>
      </c>
      <c r="Z53" s="604" t="str">
        <f>IFERROR(INDEX(Reit!$I:$I,MATCH(Y53,Reit!$F:$F,0)),"")</f>
        <v/>
      </c>
      <c r="AA53" s="603" t="str">
        <f t="shared" si="7"/>
        <v/>
      </c>
      <c r="AB53" s="604" t="str">
        <f>IFERROR(INDEX(Reit!$I:$I,MATCH(AA53,Reit!$F:$F,0)),"")</f>
        <v/>
      </c>
    </row>
    <row r="54" spans="1:28" s="498" customFormat="1" hidden="1" x14ac:dyDescent="0.2">
      <c r="A54" s="538"/>
      <c r="B54" s="539"/>
      <c r="C54" s="540"/>
      <c r="D54" s="540"/>
      <c r="E54" s="540"/>
      <c r="H54" s="541"/>
      <c r="I54" s="542"/>
      <c r="J54" s="543"/>
      <c r="K54" s="530"/>
      <c r="L54" s="544"/>
      <c r="M54" s="543"/>
      <c r="N54" s="532"/>
      <c r="Q54" s="277"/>
      <c r="R54" s="277"/>
      <c r="S54" s="277"/>
      <c r="T54" s="277"/>
      <c r="U54" s="277"/>
      <c r="V54" s="277"/>
      <c r="W54" s="277"/>
      <c r="X54" s="277"/>
      <c r="Y54" s="277"/>
      <c r="Z54" s="277"/>
      <c r="AA54" s="277"/>
      <c r="AB54" s="277"/>
    </row>
    <row r="55" spans="1:28" s="506" customFormat="1" hidden="1" x14ac:dyDescent="0.2">
      <c r="A55" s="500" t="s">
        <v>147</v>
      </c>
      <c r="B55" s="501"/>
      <c r="C55" s="502">
        <v>1</v>
      </c>
      <c r="D55" s="502">
        <v>2</v>
      </c>
      <c r="E55" s="502">
        <v>3</v>
      </c>
      <c r="F55" s="502">
        <v>4</v>
      </c>
      <c r="G55" s="502">
        <v>5</v>
      </c>
      <c r="H55" s="501" t="s">
        <v>363</v>
      </c>
      <c r="I55" s="501" t="s">
        <v>26</v>
      </c>
      <c r="J55" s="533" t="s">
        <v>156</v>
      </c>
      <c r="K55" s="504" t="s">
        <v>156</v>
      </c>
      <c r="L55" s="534" t="s">
        <v>364</v>
      </c>
      <c r="M55" s="535" t="b">
        <f>OR(AND(COUNTA(B56:B60)=3,COUNTA(C56:G60)=6),AND(COUNTA(B56:B60)=4,COUNTA(C56:G60)=12),AND(COUNTA(B56:B60)=5,COUNTA(C56:G60)=20))</f>
        <v>0</v>
      </c>
      <c r="N55"/>
      <c r="O55" s="498"/>
      <c r="P55" s="498"/>
      <c r="Q55" s="277"/>
      <c r="R55" s="277"/>
      <c r="S55" s="277"/>
      <c r="T55" s="277"/>
      <c r="U55" s="277"/>
      <c r="V55" s="277"/>
      <c r="W55" s="277"/>
      <c r="X55" s="277"/>
      <c r="Y55" s="277"/>
      <c r="Z55" s="277"/>
      <c r="AA55" s="277"/>
      <c r="AB55" s="277"/>
    </row>
    <row r="56" spans="1:28" s="506" customFormat="1" hidden="1" x14ac:dyDescent="0.2">
      <c r="A56" s="500">
        <v>1</v>
      </c>
      <c r="B56" s="508"/>
      <c r="C56" s="509"/>
      <c r="D56" s="510"/>
      <c r="E56" s="510"/>
      <c r="F56" s="510"/>
      <c r="G56" s="510"/>
      <c r="H56" s="511" t="str">
        <f>(IF(D56-C57&gt;0,1)+IF(E56-C58&gt;0,1)+IF(F56-C59&gt;0,1)+IF(G56-C60&gt;0,1))&amp;"-"&amp;(IF(D56-C57&lt;0,1)+IF(E56-C58&lt;0,1)+IF(F56-C59&lt;0,1)+IF(G56-C60&lt;0,1))</f>
        <v>0-0</v>
      </c>
      <c r="I56" s="510" t="str">
        <f>IF(AND(B56&lt;&gt;"",M$55=TRUE),A$55&amp;RANK(M56,M$56:M$60,0),"")</f>
        <v/>
      </c>
      <c r="J56" s="512">
        <f>VALUE(LEFT(H56,1))</f>
        <v>0</v>
      </c>
      <c r="K56" s="513">
        <f>IF(AND(J56=1,J57=1,D56&gt;C57),1)+IF(AND(J56=1,J58=1,E56&gt;C58),1)+IF(AND(J56=1,J59=1,F56&gt;C59),1)+IF(AND(J56=1,J60=1,G56&gt;C60),1)+IF(AND(J56=2,J57=2,D56&gt;C57),1)+IF(AND(J56=2,J58=2,E56&gt;C58),1)+IF(AND(J56=2,J59=2,F56&gt;C59),1)+IF(AND(J56=2,J60=2,G56&gt;C60),1)+IF(AND(J56=3,J57=3,D56&gt;C57),1)+IF(AND(J56=3,J58=3,E56&gt;C58),1)+IF(AND(J56=3,J59=3,F56&gt;C59),1)+IF(AND(J56=3,J60=3,G56&gt;C60),1)</f>
        <v>0</v>
      </c>
      <c r="L56" s="514">
        <f>IF(AND(J56=1,J57=1),D56-C57)+IF(AND(J56=1,J58=1),E56-C58)+IF(AND(J56=1,J59=1),F56-C59)+IF(AND(J56=1,J60=1),G56-C60)+IF(AND(J56=2,J57=2),D56-C57)+IF(AND(J56=2,J58=2),E56-C58)+IF(AND(J56=2,J59=2),F56-C59)+IF(AND(J56=2,J60=2),G56-C60)+IF(AND(J56=3,J57=3),D56-C57)+IF(AND(J56=3,J58=3),E56-C58)+IF(AND(J56=3,J59=3),F56-C59)+IF(AND(J56=3,J60=3),G56-C60)</f>
        <v>0</v>
      </c>
      <c r="M56" s="515">
        <f>10000*J56+K56*100+L56</f>
        <v>0</v>
      </c>
      <c r="N56"/>
      <c r="O56" s="536"/>
      <c r="P56" s="498"/>
      <c r="Q56" s="277"/>
      <c r="R56" s="499">
        <f t="shared" si="3"/>
        <v>0</v>
      </c>
      <c r="S56" s="603" t="str">
        <f t="shared" si="4"/>
        <v/>
      </c>
      <c r="T56" s="604" t="str">
        <f>IFERROR(INDEX(Reit!$I:$I,MATCH(S56,Reit!$F:$F,0)),"")</f>
        <v/>
      </c>
      <c r="U56" s="603" t="str">
        <f t="shared" si="5"/>
        <v/>
      </c>
      <c r="V56" s="604" t="str">
        <f>IFERROR(INDEX(Reit!$I:$I,MATCH(U56,Reit!$F:$F,0)),"")</f>
        <v/>
      </c>
      <c r="W56" s="603" t="str">
        <f t="shared" si="6"/>
        <v/>
      </c>
      <c r="X56" s="604" t="str">
        <f>IFERROR(INDEX(Reit!$I:$I,MATCH(W56,Reit!$F:$F,0)),"")</f>
        <v/>
      </c>
      <c r="Y56" s="605" t="str">
        <f t="shared" si="0"/>
        <v/>
      </c>
      <c r="Z56" s="604" t="str">
        <f>IFERROR(INDEX(Reit!$I:$I,MATCH(Y56,Reit!$F:$F,0)),"")</f>
        <v/>
      </c>
      <c r="AA56" s="603" t="str">
        <f t="shared" si="7"/>
        <v/>
      </c>
      <c r="AB56" s="604" t="str">
        <f>IFERROR(INDEX(Reit!$I:$I,MATCH(AA56,Reit!$F:$F,0)),"")</f>
        <v/>
      </c>
    </row>
    <row r="57" spans="1:28" s="506" customFormat="1" hidden="1" x14ac:dyDescent="0.2">
      <c r="A57" s="500">
        <v>2</v>
      </c>
      <c r="B57" s="518"/>
      <c r="C57" s="510"/>
      <c r="D57" s="509"/>
      <c r="E57" s="510"/>
      <c r="F57" s="510"/>
      <c r="G57" s="510"/>
      <c r="H57" s="511" t="str">
        <f>(IF(C57-D56&gt;0,1)+IF(E57-D58&gt;0,1)+IF(F57-D59&gt;0,1)+IF(G57-D60&gt;0,1))&amp;"-"&amp;(IF(C57-D56&lt;0,1)+IF(E57-D58&lt;0,1)+IF(F57-D59&lt;0,1)+IF(G57-D60&lt;0,1))</f>
        <v>0-0</v>
      </c>
      <c r="I57" s="510" t="str">
        <f>IF(AND(B57&lt;&gt;"",M$55=TRUE),A$55&amp;RANK(M57,M$56:M$60,0),"")</f>
        <v/>
      </c>
      <c r="J57" s="512">
        <f t="shared" ref="J57:J60" si="23">VALUE(LEFT(H57,1))</f>
        <v>0</v>
      </c>
      <c r="K57" s="519">
        <f>IF(AND(J57=1,J56=1,C57&gt;D56),1)+IF(AND(J57=1,J58=1,E57&gt;D58),1)+IF(AND(J57=1,J59=1,F57&gt;D59),1)+IF(AND(J57=1,J60=1,G57&gt;D60),1)+IF(AND(J57=2,J56=2,C57&gt;D56),1)+IF(AND(J57=2,J58=2,E57&gt;D58),1)+IF(AND(J57=2,J59=2,F57&gt;D59),1)+IF(AND(J57=2,J60=2,G57&gt;D60),1)+IF(AND(J57=3,J56=3,C57&gt;D56),1)+IF(AND(J57=3,J58=3,E57&gt;D58),1)+IF(AND(J57=3,J59=3,F57&gt;D59),1)+IF(AND(J57=3,J60=3,G57&gt;D60),1)</f>
        <v>0</v>
      </c>
      <c r="L57" s="514">
        <f>IF(AND(J57=1,J56=1),C57-D56)+IF(AND(J57=1,J58=1),E57-D58)+IF(AND(J57=1,J59=1),F57-D59)+IF(AND(J57=1,J60=1),G57-D60)+IF(AND(J57=2,J56=2),C57-D56)+IF(AND(J57=2,J58=2),E57-D58)+IF(AND(J57=2,J59=2),F57-D59)+IF(AND(J57=2,J60=2),G57-D60)+IF(AND(J57=3,J56=3),C57-D56)+IF(AND(J57=3,J58=3),E57-D58)+IF(AND(J57=3,J59=3),F57-D59)+IF(AND(J57=3,J60=3),G57-D60)</f>
        <v>0</v>
      </c>
      <c r="M57" s="515">
        <f t="shared" ref="M57:M60" si="24">10000*J57+K57*100+L57</f>
        <v>0</v>
      </c>
      <c r="N57"/>
      <c r="O57" s="536"/>
      <c r="P57" s="498"/>
      <c r="Q57" s="277"/>
      <c r="R57" s="499">
        <f t="shared" si="3"/>
        <v>0</v>
      </c>
      <c r="S57" s="603" t="str">
        <f t="shared" si="4"/>
        <v/>
      </c>
      <c r="T57" s="604" t="str">
        <f>IFERROR(INDEX(Reit!$I:$I,MATCH(S57,Reit!$F:$F,0)),"")</f>
        <v/>
      </c>
      <c r="U57" s="603" t="str">
        <f t="shared" si="5"/>
        <v/>
      </c>
      <c r="V57" s="604" t="str">
        <f>IFERROR(INDEX(Reit!$I:$I,MATCH(U57,Reit!$F:$F,0)),"")</f>
        <v/>
      </c>
      <c r="W57" s="603" t="str">
        <f t="shared" si="6"/>
        <v/>
      </c>
      <c r="X57" s="604" t="str">
        <f>IFERROR(INDEX(Reit!$I:$I,MATCH(W57,Reit!$F:$F,0)),"")</f>
        <v/>
      </c>
      <c r="Y57" s="605" t="str">
        <f t="shared" si="0"/>
        <v/>
      </c>
      <c r="Z57" s="604" t="str">
        <f>IFERROR(INDEX(Reit!$I:$I,MATCH(Y57,Reit!$F:$F,0)),"")</f>
        <v/>
      </c>
      <c r="AA57" s="603" t="str">
        <f t="shared" si="7"/>
        <v/>
      </c>
      <c r="AB57" s="604" t="str">
        <f>IFERROR(INDEX(Reit!$I:$I,MATCH(AA57,Reit!$F:$F,0)),"")</f>
        <v/>
      </c>
    </row>
    <row r="58" spans="1:28" s="506" customFormat="1" hidden="1" x14ac:dyDescent="0.2">
      <c r="A58" s="500">
        <v>3</v>
      </c>
      <c r="B58" s="518"/>
      <c r="C58" s="510"/>
      <c r="D58" s="520"/>
      <c r="E58" s="509"/>
      <c r="F58" s="510"/>
      <c r="G58" s="510"/>
      <c r="H58" s="511" t="str">
        <f>(IF(C58-E56&gt;0,1)+IF(D58-E57&gt;0,1)+IF(F58-E59&gt;0,1)+IF(G58-E60&gt;0,1))&amp;"-"&amp;(IF(C58-E56&lt;0,1)+IF(D58-E57&lt;0,1)+IF(F58-E59&lt;0,1)+IF(G58-E60&lt;0,1))</f>
        <v>0-0</v>
      </c>
      <c r="I58" s="510" t="str">
        <f>IF(AND(B58&lt;&gt;"",M$55=TRUE),A$55&amp;RANK(M58,M$56:M$60,0),"")</f>
        <v/>
      </c>
      <c r="J58" s="512">
        <f t="shared" si="23"/>
        <v>0</v>
      </c>
      <c r="K58" s="519">
        <f>IF(AND(J58=1,J56=1,C58&gt;E56),1)+IF(AND(J58=1,J57=1,D58&gt;E57),1)+IF(AND(J58=1,J59=1,F58&gt;E59),1)+IF(AND(J58=1,J60=1,G58&gt;E60),1)+IF(AND(J58=2,J56=2,C58&gt;E56),1)+IF(AND(J58=2,J57=2,D58&gt;E57),1)+IF(AND(J58=2,J59=2,F58&gt;E59),1)+IF(AND(J58=2,J60=2,G58&gt;E60),1)+IF(AND(J58=3,J56=3,C58&gt;E56),1)+IF(AND(J58=3,J57=3,D58&gt;E57),1)+IF(AND(J58=3,J59=3,F58&gt;E59),1)+IF(AND(J58=3,J60=3,G58&gt;E60),1)</f>
        <v>0</v>
      </c>
      <c r="L58" s="514">
        <f>IF(AND(J58=1,J56=1),C58-E56)+IF(AND(J58=1,J57=1),D58-E57)+IF(AND(J58=1,J59=1),F58-E59)+IF(AND(J58=1,J60=1),G58-E60)+IF(AND(J58=2,J56=2),C58-E56)+IF(AND(J58=2,J57=2),D58-E57)+IF(AND(J58=2,J59=2),F58-E59)+IF(AND(J58=2,J60=2),G58-E60)+IF(AND(J58=3,J56=3),C58-E56)+IF(AND(J58=3,J57=3),D58-E57)+IF(AND(J58=3,J59=3),F58-E59)+IF(AND(J58=3,J60=3),G58-E60)</f>
        <v>0</v>
      </c>
      <c r="M58" s="515">
        <f t="shared" si="24"/>
        <v>0</v>
      </c>
      <c r="N58" s="532"/>
      <c r="P58" s="498"/>
      <c r="Q58" s="277"/>
      <c r="R58" s="499">
        <f t="shared" si="3"/>
        <v>0</v>
      </c>
      <c r="S58" s="603" t="str">
        <f t="shared" si="4"/>
        <v/>
      </c>
      <c r="T58" s="604" t="str">
        <f>IFERROR(INDEX(Reit!$I:$I,MATCH(S58,Reit!$F:$F,0)),"")</f>
        <v/>
      </c>
      <c r="U58" s="603" t="str">
        <f t="shared" si="5"/>
        <v/>
      </c>
      <c r="V58" s="604" t="str">
        <f>IFERROR(INDEX(Reit!$I:$I,MATCH(U58,Reit!$F:$F,0)),"")</f>
        <v/>
      </c>
      <c r="W58" s="603" t="str">
        <f t="shared" si="6"/>
        <v/>
      </c>
      <c r="X58" s="604" t="str">
        <f>IFERROR(INDEX(Reit!$I:$I,MATCH(W58,Reit!$F:$F,0)),"")</f>
        <v/>
      </c>
      <c r="Y58" s="605" t="str">
        <f t="shared" si="0"/>
        <v/>
      </c>
      <c r="Z58" s="604" t="str">
        <f>IFERROR(INDEX(Reit!$I:$I,MATCH(Y58,Reit!$F:$F,0)),"")</f>
        <v/>
      </c>
      <c r="AA58" s="603" t="str">
        <f t="shared" si="7"/>
        <v/>
      </c>
      <c r="AB58" s="604" t="str">
        <f>IFERROR(INDEX(Reit!$I:$I,MATCH(AA58,Reit!$F:$F,0)),"")</f>
        <v/>
      </c>
    </row>
    <row r="59" spans="1:28" s="506" customFormat="1" hidden="1" x14ac:dyDescent="0.2">
      <c r="A59" s="500">
        <v>4</v>
      </c>
      <c r="B59" s="521"/>
      <c r="C59" s="510"/>
      <c r="D59" s="520"/>
      <c r="E59" s="510"/>
      <c r="F59" s="509"/>
      <c r="G59" s="522"/>
      <c r="H59" s="511" t="str">
        <f>(IF(C59-F56&gt;0,1)+IF(D59-F57&gt;0,1)+IF(E59-F58&gt;0,1)+IF(G59-F60&gt;0,1))&amp;"-"&amp;(IF(C59-F56&lt;0,1)+IF(D59-F57&lt;0,1)+IF(E59-F58&lt;0,1)+IF(G59-F60&lt;0,1))</f>
        <v>0-0</v>
      </c>
      <c r="I59" s="510" t="str">
        <f>IF(AND(B59&lt;&gt;"",M$55=TRUE),A$55&amp;RANK(M59,M$56:M$60,0),"")</f>
        <v/>
      </c>
      <c r="J59" s="512">
        <f t="shared" si="23"/>
        <v>0</v>
      </c>
      <c r="K59" s="519">
        <f>IF(AND(J59=1,J56=1,C59&gt;F56),1)+IF(AND(J59=1,J57=1,D59&gt;F57),1)+IF(AND(J59=1,J58=1,E59&gt;F58),1)+IF(AND(J59=1,J60=1,G59&gt;F60),1)+IF(AND(J59=2,J56=2,C59&gt;F56),1)+IF(AND(J59=2,J57=2,D59&gt;F57),1)+IF(AND(J59=2,J58=2,E59&gt;F58),1)+IF(AND(J59=2,J60=2,G59&gt;F60),1)+IF(AND(J59=3,J56=3,C59&gt;F56),1)+IF(AND(J59=3,J57=3,D59&gt;F57),1)+IF(AND(J59=3,J58=3,E59&gt;F58),1)+IF(AND(J59=3,J60=3,G59&gt;F60),1)</f>
        <v>0</v>
      </c>
      <c r="L59" s="514">
        <f>IF(AND(J59=1,J56=1),C59-F56)+IF(AND(J59=1,J57=1),D59-F57)+IF(AND(J59=1,J58=1),E59-F58)+IF(AND(J59=1,J60=1),G59-F60)+IF(AND(J59=2,J56=2),C59-F56)+IF(AND(J59=2,J57=2),D59-F57)+IF(AND(J59=2,J58=2),E59-F58)+IF(AND(J59=2,J60=2),G59-F60)+IF(AND(J59=3,J56=3),C59-F56)+IF(AND(J59=3,J57=3),D59-F57)+IF(AND(J59=3,J58=3),E59-F58)+IF(AND(J59=3,J60=3),G59-F60)</f>
        <v>0</v>
      </c>
      <c r="M59" s="515">
        <f t="shared" si="24"/>
        <v>0</v>
      </c>
      <c r="N59"/>
      <c r="P59" s="498"/>
      <c r="Q59" s="277"/>
      <c r="R59" s="499">
        <f t="shared" si="3"/>
        <v>0</v>
      </c>
      <c r="S59" s="603" t="str">
        <f t="shared" si="4"/>
        <v/>
      </c>
      <c r="T59" s="604" t="str">
        <f>IFERROR(INDEX(Reit!$I:$I,MATCH(S59,Reit!$F:$F,0)),"")</f>
        <v/>
      </c>
      <c r="U59" s="603" t="str">
        <f t="shared" si="5"/>
        <v/>
      </c>
      <c r="V59" s="604" t="str">
        <f>IFERROR(INDEX(Reit!$I:$I,MATCH(U59,Reit!$F:$F,0)),"")</f>
        <v/>
      </c>
      <c r="W59" s="603" t="str">
        <f t="shared" si="6"/>
        <v/>
      </c>
      <c r="X59" s="604" t="str">
        <f>IFERROR(INDEX(Reit!$I:$I,MATCH(W59,Reit!$F:$F,0)),"")</f>
        <v/>
      </c>
      <c r="Y59" s="605" t="str">
        <f t="shared" si="0"/>
        <v/>
      </c>
      <c r="Z59" s="604" t="str">
        <f>IFERROR(INDEX(Reit!$I:$I,MATCH(Y59,Reit!$F:$F,0)),"")</f>
        <v/>
      </c>
      <c r="AA59" s="603" t="str">
        <f t="shared" si="7"/>
        <v/>
      </c>
      <c r="AB59" s="604" t="str">
        <f>IFERROR(INDEX(Reit!$I:$I,MATCH(AA59,Reit!$F:$F,0)),"")</f>
        <v/>
      </c>
    </row>
    <row r="60" spans="1:28" s="506" customFormat="1" hidden="1" x14ac:dyDescent="0.2">
      <c r="A60" s="500">
        <v>5</v>
      </c>
      <c r="B60" s="521"/>
      <c r="C60" s="510"/>
      <c r="D60" s="510"/>
      <c r="E60" s="510"/>
      <c r="F60" s="510"/>
      <c r="G60" s="509"/>
      <c r="H60" s="511" t="str">
        <f>(IF(C60-G56&gt;0,1)+IF(D60-G57&gt;0,1)+IF(E60-G58&gt;0,1)+IF(F60-G59&gt;0,1))&amp;"-"&amp;(IF(C60-G56&lt;0,1)+IF(D60-G57&lt;0,1)+IF(E60-G58&lt;0,1)+IF(F60-G59&lt;0,1))</f>
        <v>0-0</v>
      </c>
      <c r="I60" s="510" t="str">
        <f>IF(AND(B60&lt;&gt;"",M$55=TRUE),A$55&amp;RANK(M60,M$56:M$60,0),"")</f>
        <v/>
      </c>
      <c r="J60" s="512">
        <f t="shared" si="23"/>
        <v>0</v>
      </c>
      <c r="K60" s="519">
        <f>IF(AND(J60=1,J56=1,C60&gt;G56),1)+IF(AND(J60=1,J57=1,D60&gt;G57),1)+IF(AND(J60=1,J58=1,E60&gt;G58),1)+IF(AND(J60=1,J59=1,F60&gt;G59),1)+IF(AND(J60=2,J56=2,C60&gt;G56),1)+IF(AND(J60=2,J57=2,D60&gt;G57),1)+IF(AND(J60=2,J58=2,E60&gt;G58),1)+IF(AND(J60=2,J59=2,F60&gt;G59),1)+IF(AND(J60=3,J56=3,C60&gt;G56),1)+IF(AND(J60=3,J57=3,D60&gt;G57),1)+IF(AND(J60=3,J58=3,E60&gt;G58),1)+IF(AND(J60=3,J59=3,F60&gt;G59),1)</f>
        <v>0</v>
      </c>
      <c r="L60" s="514">
        <f>IF(AND(J60=1,J56=1),C60-G56)+IF(AND(J60=1,J57=1),D60-G57)+IF(AND(J60=1,J58=1),E60-G58)+IF(AND(J60=1,J59=1),F60-G59)+IF(AND(J60=2,J56=2),C60-G56)+IF(AND(J60=2,J57=2),D60-G57)+IF(AND(J60=2,J58=2),E60-G58)+IF(AND(J60=2,J59=2),F60-G59)+IF(AND(J60=3,J56=3),C60-G56)+IF(AND(J60=3,J57=3),D60-G57)+IF(AND(J60=3,J58=3),E60-G58)+IF(AND(J60=3,J59=3),F60-G59)</f>
        <v>0</v>
      </c>
      <c r="M60" s="515">
        <f t="shared" si="24"/>
        <v>0</v>
      </c>
      <c r="N60" s="498"/>
      <c r="P60" s="498"/>
      <c r="Q60" s="277"/>
      <c r="R60" s="499">
        <f t="shared" si="3"/>
        <v>0</v>
      </c>
      <c r="S60" s="603" t="str">
        <f t="shared" si="4"/>
        <v/>
      </c>
      <c r="T60" s="604" t="str">
        <f>IFERROR(INDEX(Reit!$I:$I,MATCH(S60,Reit!$F:$F,0)),"")</f>
        <v/>
      </c>
      <c r="U60" s="603" t="str">
        <f t="shared" si="5"/>
        <v/>
      </c>
      <c r="V60" s="604" t="str">
        <f>IFERROR(INDEX(Reit!$I:$I,MATCH(U60,Reit!$F:$F,0)),"")</f>
        <v/>
      </c>
      <c r="W60" s="603" t="str">
        <f t="shared" si="6"/>
        <v/>
      </c>
      <c r="X60" s="604" t="str">
        <f>IFERROR(INDEX(Reit!$I:$I,MATCH(W60,Reit!$F:$F,0)),"")</f>
        <v/>
      </c>
      <c r="Y60" s="605" t="str">
        <f t="shared" si="0"/>
        <v/>
      </c>
      <c r="Z60" s="604" t="str">
        <f>IFERROR(INDEX(Reit!$I:$I,MATCH(Y60,Reit!$F:$F,0)),"")</f>
        <v/>
      </c>
      <c r="AA60" s="603" t="str">
        <f t="shared" si="7"/>
        <v/>
      </c>
      <c r="AB60" s="604" t="str">
        <f>IFERROR(INDEX(Reit!$I:$I,MATCH(AA60,Reit!$F:$F,0)),"")</f>
        <v/>
      </c>
    </row>
    <row r="61" spans="1:28" s="55" customFormat="1" hidden="1" x14ac:dyDescent="0.2">
      <c r="Q61" s="277"/>
      <c r="R61" s="277"/>
      <c r="S61" s="277"/>
      <c r="T61" s="277"/>
      <c r="U61" s="277"/>
      <c r="V61" s="277"/>
      <c r="W61" s="277"/>
      <c r="X61" s="277"/>
      <c r="Y61" s="277"/>
      <c r="Z61" s="277"/>
      <c r="AA61" s="277"/>
      <c r="AB61" s="277"/>
    </row>
    <row r="62" spans="1:28" s="55" customFormat="1" hidden="1" x14ac:dyDescent="0.2">
      <c r="B62" s="549" t="s">
        <v>16</v>
      </c>
      <c r="C62" s="550" t="s">
        <v>366</v>
      </c>
      <c r="D62" s="550"/>
      <c r="Q62" s="277"/>
      <c r="R62" s="277"/>
      <c r="S62" s="277"/>
      <c r="T62" s="277"/>
      <c r="U62" s="277"/>
      <c r="V62" s="277"/>
      <c r="W62" s="277"/>
      <c r="X62" s="277"/>
      <c r="Y62" s="277"/>
      <c r="Z62" s="277"/>
      <c r="AA62" s="277"/>
      <c r="AB62" s="277"/>
    </row>
    <row r="63" spans="1:28" s="55" customFormat="1" hidden="1" x14ac:dyDescent="0.2">
      <c r="B63" s="549" t="s">
        <v>17</v>
      </c>
      <c r="C63" s="550" t="s">
        <v>367</v>
      </c>
      <c r="D63" s="506"/>
      <c r="Q63" s="277"/>
      <c r="R63" s="277"/>
      <c r="S63" s="277"/>
      <c r="T63" s="277"/>
      <c r="U63" s="277"/>
      <c r="V63" s="277"/>
      <c r="W63" s="277"/>
      <c r="X63" s="277"/>
      <c r="Y63" s="277"/>
      <c r="Z63" s="277"/>
      <c r="AA63" s="277"/>
      <c r="AB63" s="277"/>
    </row>
    <row r="64" spans="1:28" s="55" customFormat="1" hidden="1" x14ac:dyDescent="0.2">
      <c r="B64" s="549" t="s">
        <v>18</v>
      </c>
      <c r="C64" s="550" t="s">
        <v>368</v>
      </c>
      <c r="D64" s="506"/>
      <c r="Q64" s="277"/>
      <c r="R64" s="277"/>
      <c r="S64" s="277"/>
      <c r="T64" s="277"/>
      <c r="U64" s="277"/>
      <c r="V64" s="277"/>
      <c r="W64" s="277"/>
      <c r="X64" s="277"/>
      <c r="Y64" s="277"/>
      <c r="Z64" s="277"/>
      <c r="AA64" s="277"/>
      <c r="AB64" s="277"/>
    </row>
    <row r="65" spans="2:28" s="55" customFormat="1" x14ac:dyDescent="0.2">
      <c r="B65" s="506"/>
      <c r="C65" s="506"/>
      <c r="D65" s="506"/>
      <c r="Q65" s="277"/>
      <c r="R65" s="277"/>
      <c r="S65" s="277"/>
      <c r="T65" s="277"/>
      <c r="U65" s="277"/>
      <c r="V65" s="277"/>
      <c r="W65" s="277"/>
      <c r="X65" s="277"/>
      <c r="Y65" s="277"/>
      <c r="Z65" s="277"/>
      <c r="AA65" s="277"/>
      <c r="AB65" s="277"/>
    </row>
    <row r="66" spans="2:28" s="55" customFormat="1" x14ac:dyDescent="0.2">
      <c r="B66" s="549" t="s">
        <v>16</v>
      </c>
      <c r="C66" s="550" t="s">
        <v>369</v>
      </c>
      <c r="D66" s="550" t="s">
        <v>367</v>
      </c>
      <c r="Q66" s="277"/>
      <c r="R66" s="277"/>
      <c r="S66" s="277"/>
      <c r="T66" s="277"/>
      <c r="U66" s="277"/>
      <c r="V66" s="277"/>
      <c r="W66" s="277"/>
      <c r="X66" s="277"/>
      <c r="Y66" s="277"/>
      <c r="Z66" s="277"/>
      <c r="AA66" s="277"/>
      <c r="AB66" s="277"/>
    </row>
    <row r="67" spans="2:28" s="55" customFormat="1" x14ac:dyDescent="0.2">
      <c r="B67" s="549" t="s">
        <v>17</v>
      </c>
      <c r="C67" s="550" t="s">
        <v>366</v>
      </c>
      <c r="D67" s="550" t="s">
        <v>370</v>
      </c>
      <c r="Q67" s="277"/>
      <c r="R67" s="277"/>
      <c r="S67" s="277"/>
      <c r="T67" s="277"/>
      <c r="U67" s="277"/>
      <c r="V67" s="277"/>
      <c r="W67" s="277"/>
      <c r="X67" s="277"/>
      <c r="Y67" s="277"/>
      <c r="Z67" s="277"/>
      <c r="AA67" s="277"/>
      <c r="AB67" s="277"/>
    </row>
    <row r="68" spans="2:28" s="55" customFormat="1" x14ac:dyDescent="0.2">
      <c r="B68" s="549" t="s">
        <v>18</v>
      </c>
      <c r="C68" s="550" t="s">
        <v>368</v>
      </c>
      <c r="D68" s="550" t="s">
        <v>371</v>
      </c>
      <c r="Q68" s="277"/>
      <c r="R68" s="277"/>
      <c r="S68" s="277"/>
      <c r="T68" s="277"/>
      <c r="U68" s="277"/>
      <c r="V68" s="277"/>
      <c r="W68" s="277"/>
      <c r="X68" s="277"/>
      <c r="Y68" s="277"/>
      <c r="Z68" s="277"/>
      <c r="AA68" s="277"/>
      <c r="AB68" s="277"/>
    </row>
    <row r="69" spans="2:28" s="55" customFormat="1" hidden="1" x14ac:dyDescent="0.2">
      <c r="B69" s="551"/>
      <c r="C69" s="527"/>
      <c r="D69" s="527"/>
      <c r="Q69" s="277"/>
      <c r="R69" s="277"/>
      <c r="S69" s="277"/>
      <c r="T69" s="277"/>
      <c r="U69" s="277"/>
      <c r="V69" s="277"/>
      <c r="W69" s="277"/>
      <c r="X69" s="277"/>
      <c r="Y69" s="277"/>
      <c r="Z69" s="277"/>
      <c r="AA69" s="277"/>
      <c r="AB69" s="277"/>
    </row>
    <row r="70" spans="2:28" s="55" customFormat="1" hidden="1" x14ac:dyDescent="0.2">
      <c r="B70" s="549" t="s">
        <v>16</v>
      </c>
      <c r="C70" s="550" t="s">
        <v>372</v>
      </c>
      <c r="D70" s="550" t="s">
        <v>370</v>
      </c>
      <c r="Q70" s="277"/>
      <c r="R70" s="277"/>
      <c r="S70" s="277"/>
      <c r="T70" s="277"/>
      <c r="U70" s="277"/>
      <c r="V70" s="277"/>
      <c r="W70" s="277"/>
      <c r="X70" s="277"/>
      <c r="Y70" s="277"/>
      <c r="Z70" s="277"/>
      <c r="AA70" s="277"/>
      <c r="AB70" s="277"/>
    </row>
    <row r="71" spans="2:28" s="55" customFormat="1" hidden="1" x14ac:dyDescent="0.2">
      <c r="B71" s="549" t="s">
        <v>17</v>
      </c>
      <c r="C71" s="550" t="s">
        <v>366</v>
      </c>
      <c r="D71" s="550" t="s">
        <v>373</v>
      </c>
      <c r="Q71" s="277"/>
      <c r="R71" s="277"/>
      <c r="S71" s="277"/>
      <c r="T71" s="277"/>
      <c r="U71" s="277"/>
      <c r="V71" s="277"/>
      <c r="W71" s="277"/>
      <c r="X71" s="277"/>
      <c r="Y71" s="277"/>
      <c r="Z71" s="277"/>
      <c r="AA71" s="277"/>
      <c r="AB71" s="277"/>
    </row>
    <row r="72" spans="2:28" s="55" customFormat="1" hidden="1" x14ac:dyDescent="0.2">
      <c r="B72" s="549" t="s">
        <v>18</v>
      </c>
      <c r="C72" s="550" t="s">
        <v>374</v>
      </c>
      <c r="D72" s="550" t="s">
        <v>371</v>
      </c>
      <c r="Q72" s="277"/>
      <c r="R72" s="277"/>
      <c r="S72" s="277"/>
      <c r="T72" s="277"/>
      <c r="U72" s="277"/>
      <c r="V72" s="277"/>
      <c r="W72" s="277"/>
      <c r="X72" s="277"/>
      <c r="Y72" s="277"/>
      <c r="Z72" s="277"/>
      <c r="AA72" s="277"/>
      <c r="AB72" s="277"/>
    </row>
    <row r="73" spans="2:28" s="55" customFormat="1" hidden="1" x14ac:dyDescent="0.2">
      <c r="B73" s="549" t="s">
        <v>19</v>
      </c>
      <c r="C73" s="550" t="s">
        <v>375</v>
      </c>
      <c r="D73" s="550" t="s">
        <v>376</v>
      </c>
      <c r="Q73" s="277"/>
      <c r="R73" s="277"/>
      <c r="S73" s="277"/>
      <c r="T73" s="277"/>
      <c r="U73" s="277"/>
      <c r="V73" s="277"/>
      <c r="W73" s="277"/>
      <c r="X73" s="277"/>
      <c r="Y73" s="277"/>
      <c r="Z73" s="277"/>
      <c r="AA73" s="277"/>
      <c r="AB73" s="277"/>
    </row>
    <row r="74" spans="2:28" s="55" customFormat="1" hidden="1" x14ac:dyDescent="0.2">
      <c r="B74" s="549" t="s">
        <v>20</v>
      </c>
      <c r="C74" s="550" t="s">
        <v>367</v>
      </c>
      <c r="D74" s="550" t="s">
        <v>369</v>
      </c>
      <c r="Q74" s="277"/>
      <c r="R74" s="277"/>
      <c r="S74" s="277"/>
      <c r="T74" s="277"/>
      <c r="U74" s="277"/>
      <c r="V74" s="277"/>
      <c r="W74" s="277"/>
      <c r="X74" s="277"/>
      <c r="Y74" s="277"/>
      <c r="Z74" s="277"/>
      <c r="AA74" s="277"/>
      <c r="AB74" s="277"/>
    </row>
    <row r="75" spans="2:28" s="55" customFormat="1" hidden="1" x14ac:dyDescent="0.2">
      <c r="Q75" s="277"/>
      <c r="R75" s="277"/>
      <c r="S75" s="277"/>
      <c r="T75" s="277"/>
      <c r="U75" s="277"/>
      <c r="V75" s="277"/>
      <c r="W75" s="277"/>
      <c r="X75" s="277"/>
      <c r="Y75" s="277"/>
      <c r="Z75" s="277"/>
      <c r="AA75" s="277"/>
      <c r="AB75" s="277"/>
    </row>
    <row r="76" spans="2:28" s="55" customFormat="1" hidden="1" x14ac:dyDescent="0.2">
      <c r="Q76" s="277"/>
      <c r="R76" s="277"/>
      <c r="S76" s="277"/>
      <c r="T76" s="277"/>
      <c r="U76" s="277"/>
      <c r="V76" s="277"/>
      <c r="W76" s="277"/>
      <c r="X76" s="277"/>
      <c r="Y76" s="277"/>
      <c r="Z76" s="277"/>
      <c r="AA76" s="277"/>
      <c r="AB76" s="277"/>
    </row>
    <row r="77" spans="2:28" s="55" customFormat="1" hidden="1" x14ac:dyDescent="0.2">
      <c r="Q77" s="277"/>
      <c r="R77" s="277"/>
      <c r="S77" s="277"/>
      <c r="T77" s="277"/>
      <c r="U77" s="277"/>
      <c r="V77" s="277"/>
      <c r="W77" s="277"/>
      <c r="X77" s="277"/>
      <c r="Y77" s="277"/>
      <c r="Z77" s="277"/>
      <c r="AA77" s="277"/>
      <c r="AB77" s="277"/>
    </row>
    <row r="78" spans="2:28" s="55" customFormat="1" hidden="1" x14ac:dyDescent="0.2">
      <c r="Q78" s="277"/>
      <c r="R78" s="277"/>
      <c r="S78" s="277"/>
      <c r="T78" s="277"/>
      <c r="U78" s="277"/>
      <c r="V78" s="277"/>
      <c r="W78" s="277"/>
      <c r="X78" s="277"/>
      <c r="Y78" s="277"/>
      <c r="Z78" s="277"/>
      <c r="AA78" s="277"/>
      <c r="AB78" s="277"/>
    </row>
    <row r="79" spans="2:28" s="55" customFormat="1" hidden="1" x14ac:dyDescent="0.2">
      <c r="Q79" s="277"/>
      <c r="R79" s="277"/>
      <c r="S79" s="277"/>
      <c r="T79" s="277"/>
      <c r="U79" s="277"/>
      <c r="V79" s="277"/>
      <c r="W79" s="277"/>
      <c r="X79" s="277"/>
      <c r="Y79" s="277"/>
      <c r="Z79" s="277"/>
      <c r="AA79" s="277"/>
      <c r="AB79" s="277"/>
    </row>
    <row r="80" spans="2:28" s="55" customFormat="1" hidden="1" x14ac:dyDescent="0.2">
      <c r="Q80" s="277"/>
      <c r="R80" s="277"/>
      <c r="S80" s="277"/>
      <c r="T80" s="277"/>
      <c r="U80" s="277"/>
      <c r="V80" s="277"/>
      <c r="W80" s="277"/>
      <c r="X80" s="277"/>
      <c r="Y80" s="277"/>
      <c r="Z80" s="277"/>
      <c r="AA80" s="277"/>
      <c r="AB80" s="277"/>
    </row>
    <row r="81" spans="1:28" s="55" customFormat="1" hidden="1" x14ac:dyDescent="0.2">
      <c r="Q81" s="277"/>
      <c r="R81" s="277"/>
      <c r="S81" s="277"/>
      <c r="T81" s="277"/>
      <c r="U81" s="277"/>
      <c r="V81" s="277"/>
      <c r="W81" s="277"/>
      <c r="X81" s="277"/>
      <c r="Y81" s="277"/>
      <c r="Z81" s="277"/>
      <c r="AA81" s="277"/>
      <c r="AB81" s="277"/>
    </row>
    <row r="82" spans="1:28" s="55" customFormat="1" hidden="1" x14ac:dyDescent="0.2">
      <c r="Q82" s="277"/>
      <c r="R82" s="277"/>
      <c r="S82" s="277"/>
      <c r="T82" s="277"/>
      <c r="U82" s="277"/>
      <c r="V82" s="277"/>
      <c r="W82" s="277"/>
      <c r="X82" s="277"/>
      <c r="Y82" s="277"/>
      <c r="Z82" s="277"/>
      <c r="AA82" s="277"/>
      <c r="AB82" s="277"/>
    </row>
    <row r="83" spans="1:28" s="55" customFormat="1" hidden="1" x14ac:dyDescent="0.2">
      <c r="Q83" s="277"/>
      <c r="R83" s="277"/>
      <c r="S83" s="277"/>
      <c r="T83" s="277"/>
      <c r="U83" s="277"/>
      <c r="V83" s="277"/>
      <c r="W83" s="277"/>
      <c r="X83" s="277"/>
      <c r="Y83" s="277"/>
      <c r="Z83" s="277"/>
      <c r="AA83" s="277"/>
      <c r="AB83" s="277"/>
    </row>
    <row r="84" spans="1:28" s="55" customFormat="1" hidden="1" x14ac:dyDescent="0.2">
      <c r="Q84" s="277"/>
      <c r="R84" s="277"/>
      <c r="S84" s="277"/>
      <c r="T84" s="277"/>
      <c r="U84" s="277"/>
      <c r="V84" s="277"/>
      <c r="W84" s="277"/>
      <c r="X84" s="277"/>
      <c r="Y84" s="277"/>
      <c r="Z84" s="277"/>
      <c r="AA84" s="277"/>
      <c r="AB84" s="277"/>
    </row>
    <row r="85" spans="1:28" s="55" customFormat="1" hidden="1" x14ac:dyDescent="0.2">
      <c r="Q85" s="277"/>
      <c r="R85" s="277"/>
      <c r="S85" s="277"/>
      <c r="T85" s="277"/>
      <c r="U85" s="277"/>
      <c r="V85" s="277"/>
      <c r="W85" s="277"/>
      <c r="X85" s="277"/>
      <c r="Y85" s="277"/>
      <c r="Z85" s="277"/>
      <c r="AA85" s="277"/>
      <c r="AB85" s="277"/>
    </row>
    <row r="86" spans="1:28" s="55" customFormat="1" hidden="1" x14ac:dyDescent="0.2">
      <c r="Q86" s="277"/>
      <c r="R86" s="277"/>
      <c r="S86" s="277"/>
      <c r="T86" s="277"/>
      <c r="U86" s="277"/>
      <c r="V86" s="277"/>
      <c r="W86" s="277"/>
      <c r="X86" s="277"/>
      <c r="Y86" s="277"/>
      <c r="Z86" s="277"/>
      <c r="AA86" s="277"/>
      <c r="AB86" s="277"/>
    </row>
    <row r="87" spans="1:28" s="55" customFormat="1" hidden="1" x14ac:dyDescent="0.2">
      <c r="Q87" s="277"/>
      <c r="R87" s="277"/>
      <c r="S87" s="277"/>
      <c r="T87" s="277"/>
      <c r="U87" s="277"/>
      <c r="V87" s="277"/>
      <c r="W87" s="277"/>
      <c r="X87" s="277"/>
      <c r="Y87" s="277"/>
      <c r="Z87" s="277"/>
      <c r="AA87" s="277"/>
      <c r="AB87" s="277"/>
    </row>
    <row r="88" spans="1:28" s="55" customFormat="1" hidden="1" x14ac:dyDescent="0.2">
      <c r="Q88" s="277"/>
      <c r="R88" s="277"/>
      <c r="S88" s="277"/>
      <c r="T88" s="277"/>
      <c r="U88" s="277"/>
      <c r="V88" s="277"/>
      <c r="W88" s="277"/>
      <c r="X88" s="277"/>
      <c r="Y88" s="277"/>
      <c r="Z88" s="277"/>
      <c r="AA88" s="277"/>
      <c r="AB88" s="277"/>
    </row>
    <row r="89" spans="1:28" s="55" customFormat="1" hidden="1" x14ac:dyDescent="0.2">
      <c r="Q89" s="277"/>
      <c r="R89" s="277"/>
      <c r="S89" s="277"/>
      <c r="T89" s="277"/>
      <c r="U89" s="277"/>
      <c r="V89" s="277"/>
      <c r="W89" s="277"/>
      <c r="X89" s="277"/>
      <c r="Y89" s="277"/>
      <c r="Z89" s="277"/>
      <c r="AA89" s="277"/>
      <c r="AB89" s="277"/>
    </row>
    <row r="90" spans="1:28" s="55" customFormat="1" hidden="1" x14ac:dyDescent="0.2">
      <c r="Q90" s="277"/>
      <c r="R90" s="277"/>
      <c r="S90" s="277"/>
      <c r="T90" s="277"/>
      <c r="U90" s="277"/>
      <c r="V90" s="277"/>
      <c r="W90" s="277"/>
      <c r="X90" s="277"/>
      <c r="Y90" s="277"/>
      <c r="Z90" s="277"/>
      <c r="AA90" s="277"/>
      <c r="AB90" s="277"/>
    </row>
    <row r="91" spans="1:28" s="55" customFormat="1" hidden="1" x14ac:dyDescent="0.2">
      <c r="Q91" s="277"/>
      <c r="R91" s="277"/>
      <c r="S91" s="277"/>
      <c r="T91" s="277"/>
      <c r="U91" s="277"/>
      <c r="V91" s="277"/>
      <c r="W91" s="277"/>
      <c r="X91" s="277"/>
      <c r="Y91" s="277"/>
      <c r="Z91" s="277"/>
      <c r="AA91" s="277"/>
      <c r="AB91" s="277"/>
    </row>
    <row r="92" spans="1:28" s="55" customFormat="1" hidden="1" x14ac:dyDescent="0.2">
      <c r="Q92" s="277"/>
      <c r="R92" s="277"/>
      <c r="S92" s="277"/>
      <c r="T92" s="277"/>
      <c r="U92" s="277"/>
      <c r="V92" s="277"/>
      <c r="W92" s="277"/>
      <c r="X92" s="277"/>
      <c r="Y92" s="277"/>
      <c r="Z92" s="277"/>
      <c r="AA92" s="277"/>
      <c r="AB92" s="277"/>
    </row>
    <row r="93" spans="1:28" s="55" customFormat="1" hidden="1" x14ac:dyDescent="0.2">
      <c r="Q93" s="277"/>
      <c r="R93" s="277"/>
      <c r="S93" s="277"/>
      <c r="T93" s="277"/>
      <c r="U93" s="277"/>
      <c r="V93" s="277"/>
      <c r="W93" s="277"/>
      <c r="X93" s="277"/>
      <c r="Y93" s="277"/>
      <c r="Z93" s="277"/>
      <c r="AA93" s="277"/>
      <c r="AB93" s="277"/>
    </row>
    <row r="94" spans="1:28" s="55" customFormat="1" hidden="1" x14ac:dyDescent="0.2">
      <c r="Q94" s="277"/>
      <c r="R94" s="277"/>
      <c r="S94" s="277"/>
      <c r="T94" s="277"/>
      <c r="U94" s="277"/>
      <c r="V94" s="277"/>
      <c r="W94" s="277"/>
      <c r="X94" s="277"/>
      <c r="Y94" s="277"/>
      <c r="Z94" s="277"/>
      <c r="AA94" s="277"/>
      <c r="AB94" s="277"/>
    </row>
    <row r="95" spans="1:28" s="552" customFormat="1" hidden="1" x14ac:dyDescent="0.2">
      <c r="A95" s="55"/>
      <c r="E95" s="55"/>
      <c r="F95" s="55"/>
      <c r="G95" s="55"/>
      <c r="H95" s="55"/>
      <c r="I95" s="55"/>
      <c r="J95" s="55"/>
      <c r="K95" s="55"/>
      <c r="L95" s="55"/>
      <c r="M95" s="55"/>
      <c r="N95" s="55"/>
      <c r="O95" s="55"/>
      <c r="Q95" s="277"/>
      <c r="R95" s="277"/>
      <c r="S95" s="277"/>
      <c r="T95" s="277"/>
      <c r="U95" s="277"/>
      <c r="V95" s="277"/>
      <c r="W95" s="277"/>
      <c r="X95" s="277"/>
      <c r="Y95" s="277"/>
      <c r="Z95" s="277"/>
      <c r="AA95" s="277"/>
      <c r="AB95" s="277"/>
    </row>
    <row r="96" spans="1:28" hidden="1" x14ac:dyDescent="0.2">
      <c r="A96" s="55"/>
      <c r="E96" s="55"/>
      <c r="F96" s="55"/>
      <c r="G96" s="55"/>
      <c r="H96" s="55"/>
      <c r="I96" s="55"/>
      <c r="J96" s="55"/>
      <c r="K96" s="55"/>
      <c r="L96" s="55"/>
      <c r="M96" s="55"/>
      <c r="N96" s="55"/>
      <c r="O96" s="55"/>
    </row>
    <row r="97" spans="1:15" hidden="1" x14ac:dyDescent="0.2">
      <c r="A97" s="55"/>
      <c r="E97" s="55"/>
      <c r="F97" s="55"/>
      <c r="G97" s="55"/>
      <c r="H97" s="55"/>
      <c r="I97" s="55"/>
      <c r="J97" s="55"/>
      <c r="K97" s="55"/>
      <c r="L97" s="55"/>
      <c r="M97" s="55"/>
      <c r="N97" s="55"/>
      <c r="O97" s="55"/>
    </row>
    <row r="98" spans="1:15" hidden="1" x14ac:dyDescent="0.2">
      <c r="A98" s="55"/>
      <c r="B98" s="55"/>
      <c r="C98" s="55"/>
      <c r="D98" s="55"/>
      <c r="E98" s="55"/>
      <c r="F98" s="55"/>
      <c r="G98" s="55"/>
      <c r="H98" s="55"/>
      <c r="I98" s="55"/>
      <c r="J98" s="55"/>
      <c r="K98" s="55"/>
      <c r="L98" s="55"/>
      <c r="M98" s="55"/>
      <c r="N98" s="55"/>
      <c r="O98" s="55"/>
    </row>
    <row r="99" spans="1:15" x14ac:dyDescent="0.2">
      <c r="A99" s="55"/>
      <c r="B99" s="55"/>
      <c r="C99" s="55"/>
      <c r="D99" s="55"/>
      <c r="E99" s="55"/>
      <c r="F99" s="55"/>
      <c r="G99" s="55"/>
      <c r="H99" s="55"/>
      <c r="I99" s="55"/>
      <c r="J99" s="55"/>
      <c r="K99" s="55"/>
      <c r="L99" s="55"/>
      <c r="M99" s="55"/>
      <c r="N99" s="55"/>
      <c r="O99" s="55"/>
    </row>
    <row r="100" spans="1:15" x14ac:dyDescent="0.2">
      <c r="A100" s="553" t="s">
        <v>436</v>
      </c>
      <c r="B100" s="554"/>
      <c r="C100" s="525"/>
      <c r="D100" s="525"/>
      <c r="E100" s="525"/>
      <c r="F100" s="527"/>
      <c r="G100" s="550"/>
      <c r="H100" s="55"/>
      <c r="I100" s="55"/>
      <c r="J100" s="55"/>
      <c r="K100" s="55"/>
      <c r="L100" s="55"/>
      <c r="M100" s="55"/>
      <c r="N100" s="55"/>
      <c r="O100" s="55"/>
    </row>
    <row r="101" spans="1:15" x14ac:dyDescent="0.2">
      <c r="A101" s="55"/>
      <c r="B101" s="55"/>
      <c r="C101" s="55"/>
      <c r="D101" s="55"/>
      <c r="E101" s="55"/>
      <c r="F101" s="55"/>
      <c r="G101" s="55"/>
      <c r="H101" s="55"/>
      <c r="I101" s="55"/>
      <c r="J101" s="55"/>
      <c r="K101" s="55"/>
      <c r="L101" s="55"/>
      <c r="M101" s="55"/>
      <c r="N101" s="55"/>
      <c r="O101" s="55"/>
    </row>
    <row r="102" spans="1:15" ht="13.5" thickBot="1" x14ac:dyDescent="0.25">
      <c r="A102" s="55"/>
      <c r="B102" s="55"/>
      <c r="C102" s="55"/>
      <c r="D102" s="55"/>
      <c r="E102" s="55"/>
      <c r="F102" s="55"/>
      <c r="G102" s="55"/>
      <c r="H102" s="556" t="str">
        <f>IFERROR(INDEX(B$1:B$100,MATCH("1",I$1:I$100,0)),"")</f>
        <v>Argo Sepp, Ivar Viljaste, Kristo Viljaste</v>
      </c>
      <c r="I102" s="55"/>
      <c r="J102" s="55"/>
      <c r="K102" s="55"/>
      <c r="L102" s="55"/>
      <c r="M102" s="55"/>
      <c r="N102" s="55"/>
      <c r="O102" s="55"/>
    </row>
    <row r="103" spans="1:15" x14ac:dyDescent="0.2">
      <c r="A103" s="55"/>
      <c r="B103" s="55"/>
      <c r="C103" s="55"/>
      <c r="D103" s="55"/>
      <c r="E103" s="55"/>
      <c r="F103" s="55"/>
      <c r="G103" s="55"/>
      <c r="H103" s="569" t="s">
        <v>383</v>
      </c>
      <c r="I103" s="570"/>
      <c r="J103" s="55"/>
      <c r="K103" s="55"/>
      <c r="L103" s="55"/>
      <c r="M103" s="55"/>
      <c r="N103" s="55"/>
      <c r="O103" s="55"/>
    </row>
    <row r="104" spans="1:15" x14ac:dyDescent="0.2">
      <c r="A104" s="55"/>
      <c r="B104" s="55"/>
      <c r="C104" s="55"/>
      <c r="D104" s="55"/>
      <c r="E104" s="55"/>
      <c r="F104" s="55"/>
      <c r="G104" s="55"/>
      <c r="H104" s="55"/>
      <c r="I104" s="55"/>
      <c r="J104" s="55"/>
      <c r="K104" s="55"/>
      <c r="L104" s="55"/>
      <c r="M104" s="55"/>
      <c r="N104" s="55"/>
      <c r="O104" s="55"/>
    </row>
    <row r="105" spans="1:15" ht="13.5" thickBot="1" x14ac:dyDescent="0.25">
      <c r="A105" s="55"/>
      <c r="B105" s="55"/>
      <c r="C105" s="55"/>
      <c r="D105" s="55"/>
      <c r="E105" s="55"/>
      <c r="F105" s="55"/>
      <c r="H105" s="556" t="str">
        <f>IFERROR(INDEX(B$1:B$100,MATCH("2",I$1:I$100,0)),"")</f>
        <v>Jaan Sepp, Mait Metsla, Matti Vinni</v>
      </c>
      <c r="I105" s="571"/>
      <c r="J105" s="55"/>
      <c r="K105" s="55"/>
      <c r="L105" s="55"/>
      <c r="M105" s="55"/>
      <c r="N105" s="55"/>
      <c r="O105" s="55"/>
    </row>
    <row r="106" spans="1:15" x14ac:dyDescent="0.2">
      <c r="A106" s="55"/>
      <c r="B106" s="55"/>
      <c r="C106" s="55"/>
      <c r="D106" s="55"/>
      <c r="E106" s="55"/>
      <c r="F106" s="55"/>
      <c r="H106" s="569" t="s">
        <v>386</v>
      </c>
      <c r="I106" s="554"/>
      <c r="J106" s="55"/>
      <c r="K106" s="55"/>
      <c r="L106" s="55"/>
      <c r="M106" s="55"/>
      <c r="N106" s="55"/>
      <c r="O106" s="55"/>
    </row>
    <row r="107" spans="1:15" x14ac:dyDescent="0.2">
      <c r="A107" s="55"/>
      <c r="B107" s="55"/>
      <c r="C107" s="55"/>
      <c r="D107" s="55"/>
      <c r="E107" s="55"/>
      <c r="F107" s="55"/>
      <c r="H107" s="55"/>
      <c r="I107" s="55"/>
      <c r="J107" s="55"/>
      <c r="K107" s="55"/>
      <c r="L107" s="55"/>
      <c r="M107" s="55"/>
      <c r="N107" s="55"/>
      <c r="O107" s="55"/>
    </row>
    <row r="108" spans="1:15" ht="13.5" thickBot="1" x14ac:dyDescent="0.25">
      <c r="A108" s="55"/>
      <c r="B108" s="55"/>
      <c r="C108" s="55"/>
      <c r="D108" s="55"/>
      <c r="E108" s="55"/>
      <c r="F108" s="55"/>
      <c r="H108" s="556" t="str">
        <f>IFERROR(INDEX(B$1:B$100,MATCH("3",I$1:I$100,0)),"")</f>
        <v>Andrei Grintšak, Daniil Alekankin, Emil Murzajev</v>
      </c>
      <c r="I108" s="554"/>
      <c r="J108" s="55"/>
      <c r="K108" s="55"/>
      <c r="L108" s="55"/>
      <c r="M108" s="55"/>
      <c r="N108" s="55"/>
      <c r="O108" s="55"/>
    </row>
    <row r="109" spans="1:15" x14ac:dyDescent="0.2">
      <c r="A109" s="55"/>
      <c r="B109" s="55"/>
      <c r="C109" s="55"/>
      <c r="D109" s="55"/>
      <c r="E109" s="55"/>
      <c r="F109" s="55"/>
      <c r="H109" s="569" t="s">
        <v>388</v>
      </c>
      <c r="I109" s="570"/>
      <c r="J109" s="55"/>
      <c r="K109" s="55"/>
      <c r="L109" s="55"/>
      <c r="M109" s="55"/>
      <c r="N109" s="55"/>
      <c r="O109" s="55"/>
    </row>
    <row r="110" spans="1:15" x14ac:dyDescent="0.2">
      <c r="A110" s="55"/>
      <c r="B110" s="55"/>
      <c r="C110" s="55"/>
      <c r="D110" s="55"/>
      <c r="E110" s="55"/>
      <c r="F110" s="55"/>
      <c r="H110" s="554"/>
      <c r="I110" s="554"/>
      <c r="J110" s="55"/>
      <c r="K110" s="55"/>
      <c r="L110" s="55"/>
      <c r="M110" s="55"/>
      <c r="N110" s="55"/>
      <c r="O110" s="55"/>
    </row>
    <row r="111" spans="1:15" ht="13.5" thickBot="1" x14ac:dyDescent="0.25">
      <c r="A111" s="55"/>
      <c r="B111" s="55"/>
      <c r="C111" s="55"/>
      <c r="D111" s="55"/>
      <c r="E111" s="55"/>
      <c r="F111" s="55"/>
      <c r="H111" s="606" t="str">
        <f>IFERROR(INDEX(B$1:B$100,MATCH("4",I$1:I$100,0)),"")</f>
        <v>Tõnu Kapper, Tõnu Piik, Vladimir Ogneštšikov</v>
      </c>
      <c r="I111" s="571"/>
      <c r="J111" s="55"/>
      <c r="K111" s="55"/>
      <c r="L111" s="55"/>
      <c r="M111" s="55"/>
      <c r="N111" s="55"/>
      <c r="O111" s="55"/>
    </row>
    <row r="112" spans="1:15" x14ac:dyDescent="0.2">
      <c r="A112" s="55"/>
      <c r="B112" s="55"/>
      <c r="C112" s="55"/>
      <c r="D112" s="55"/>
      <c r="E112" s="55"/>
      <c r="F112" s="55"/>
      <c r="H112" s="538" t="s">
        <v>389</v>
      </c>
      <c r="I112" s="55"/>
      <c r="J112" s="55"/>
      <c r="K112" s="55"/>
      <c r="L112" s="55"/>
      <c r="M112" s="55"/>
      <c r="N112" s="55"/>
      <c r="O112" s="55"/>
    </row>
    <row r="113" spans="1:15" hidden="1" x14ac:dyDescent="0.2">
      <c r="A113" s="55"/>
      <c r="B113" s="55"/>
      <c r="C113" s="55"/>
      <c r="D113" s="55"/>
      <c r="E113" s="55"/>
      <c r="F113" s="55"/>
      <c r="J113" s="55"/>
      <c r="K113" s="55"/>
      <c r="L113" s="55"/>
      <c r="M113" s="55"/>
      <c r="N113" s="55"/>
      <c r="O113" s="55"/>
    </row>
    <row r="114" spans="1:15" hidden="1" x14ac:dyDescent="0.2">
      <c r="A114" s="55"/>
      <c r="B114" s="55"/>
      <c r="C114" s="55"/>
      <c r="D114" s="55"/>
      <c r="E114" s="55"/>
      <c r="F114" s="55"/>
      <c r="J114" s="55"/>
      <c r="K114" s="55"/>
      <c r="L114" s="55"/>
      <c r="M114" s="55"/>
      <c r="N114" s="55"/>
      <c r="O114" s="55"/>
    </row>
    <row r="115" spans="1:15" hidden="1" x14ac:dyDescent="0.2">
      <c r="A115" s="55"/>
      <c r="B115" s="55"/>
      <c r="C115" s="55"/>
      <c r="D115" s="55"/>
      <c r="E115" s="55"/>
      <c r="F115" s="55"/>
      <c r="J115" s="55"/>
      <c r="K115" s="55"/>
      <c r="L115" s="55"/>
      <c r="M115" s="55"/>
      <c r="N115" s="55"/>
      <c r="O115" s="55"/>
    </row>
    <row r="116" spans="1:15" hidden="1" x14ac:dyDescent="0.2">
      <c r="A116" s="55"/>
      <c r="B116" s="55"/>
      <c r="C116" s="55"/>
      <c r="D116" s="55"/>
      <c r="E116" s="55"/>
      <c r="F116" s="55"/>
      <c r="J116" s="55"/>
      <c r="K116" s="55"/>
      <c r="L116" s="55"/>
      <c r="M116" s="55"/>
      <c r="N116" s="55"/>
      <c r="O116" s="55"/>
    </row>
    <row r="117" spans="1:15" hidden="1" x14ac:dyDescent="0.2">
      <c r="A117" s="55"/>
      <c r="B117" s="55"/>
      <c r="C117" s="55"/>
      <c r="D117" s="55"/>
      <c r="E117" s="55"/>
      <c r="F117" s="55"/>
      <c r="J117" s="55"/>
      <c r="K117" s="55"/>
      <c r="L117" s="55"/>
      <c r="M117" s="55"/>
      <c r="N117" s="55"/>
      <c r="O117" s="55"/>
    </row>
    <row r="118" spans="1:15" hidden="1" x14ac:dyDescent="0.2">
      <c r="A118" s="55"/>
      <c r="B118" s="55"/>
      <c r="C118" s="55"/>
      <c r="D118" s="55"/>
      <c r="E118" s="55"/>
      <c r="F118" s="55"/>
      <c r="J118" s="55"/>
      <c r="K118" s="55"/>
      <c r="L118" s="55"/>
      <c r="M118" s="55"/>
      <c r="N118" s="55"/>
      <c r="O118" s="55"/>
    </row>
    <row r="119" spans="1:15" hidden="1" x14ac:dyDescent="0.2">
      <c r="A119" s="55"/>
      <c r="B119" s="55"/>
      <c r="C119" s="55"/>
      <c r="D119" s="55"/>
      <c r="E119" s="55"/>
      <c r="F119" s="55"/>
      <c r="J119" s="55"/>
      <c r="K119" s="55"/>
      <c r="L119" s="55"/>
      <c r="M119" s="55"/>
      <c r="N119" s="55"/>
      <c r="O119" s="55"/>
    </row>
    <row r="120" spans="1:15" hidden="1" x14ac:dyDescent="0.2">
      <c r="A120" s="55"/>
      <c r="B120" s="55"/>
      <c r="C120" s="55"/>
      <c r="D120" s="55"/>
      <c r="E120" s="55"/>
      <c r="F120" s="55"/>
      <c r="J120" s="55"/>
      <c r="K120" s="55"/>
      <c r="L120" s="55"/>
      <c r="M120" s="55"/>
      <c r="N120" s="55"/>
      <c r="O120" s="55"/>
    </row>
    <row r="121" spans="1:15" hidden="1" x14ac:dyDescent="0.2">
      <c r="A121" s="55"/>
      <c r="B121" s="55"/>
      <c r="C121" s="55"/>
      <c r="D121" s="55"/>
      <c r="E121" s="55"/>
      <c r="F121" s="55"/>
      <c r="J121" s="55"/>
      <c r="K121" s="55"/>
      <c r="L121" s="55"/>
      <c r="M121" s="55"/>
      <c r="N121" s="55"/>
      <c r="O121" s="55"/>
    </row>
    <row r="122" spans="1:15" hidden="1" x14ac:dyDescent="0.2">
      <c r="A122" s="55"/>
      <c r="B122" s="55"/>
      <c r="C122" s="55"/>
      <c r="D122" s="55"/>
      <c r="E122" s="55"/>
      <c r="F122" s="55"/>
      <c r="J122" s="55"/>
      <c r="K122" s="55"/>
      <c r="L122" s="55"/>
      <c r="M122" s="55"/>
      <c r="N122" s="55"/>
      <c r="O122" s="55"/>
    </row>
    <row r="123" spans="1:15" hidden="1" x14ac:dyDescent="0.2">
      <c r="A123" s="55"/>
      <c r="B123" s="55"/>
      <c r="C123" s="55"/>
      <c r="D123" s="55"/>
      <c r="E123" s="55"/>
      <c r="F123" s="55"/>
      <c r="H123" s="55"/>
      <c r="I123" s="55"/>
      <c r="J123" s="55"/>
      <c r="K123" s="55"/>
      <c r="L123" s="55"/>
      <c r="M123" s="55"/>
      <c r="N123" s="55"/>
      <c r="O123" s="55"/>
    </row>
    <row r="124" spans="1:15" hidden="1" x14ac:dyDescent="0.2">
      <c r="A124" s="55"/>
      <c r="B124" s="55"/>
      <c r="C124" s="55"/>
      <c r="D124" s="55"/>
      <c r="E124" s="55"/>
      <c r="F124" s="55"/>
      <c r="H124" s="55"/>
      <c r="I124" s="55"/>
      <c r="J124" s="55"/>
      <c r="K124" s="55"/>
      <c r="L124" s="55"/>
      <c r="M124" s="55"/>
      <c r="N124" s="55"/>
      <c r="O124" s="55"/>
    </row>
    <row r="125" spans="1:15" hidden="1" x14ac:dyDescent="0.2">
      <c r="A125" s="55"/>
      <c r="B125" s="55"/>
      <c r="C125" s="55"/>
      <c r="D125" s="55"/>
      <c r="E125" s="55"/>
      <c r="F125" s="55"/>
      <c r="G125" s="55"/>
      <c r="H125" s="55"/>
      <c r="I125" s="55"/>
      <c r="J125" s="55"/>
      <c r="K125" s="55"/>
      <c r="L125" s="55"/>
      <c r="M125" s="55"/>
      <c r="N125" s="55"/>
      <c r="O125" s="55"/>
    </row>
    <row r="126" spans="1:15" hidden="1" x14ac:dyDescent="0.2">
      <c r="A126" s="55"/>
      <c r="B126" s="55"/>
      <c r="C126" s="55"/>
      <c r="D126" s="55"/>
      <c r="E126" s="55"/>
      <c r="F126" s="55"/>
      <c r="G126" s="55"/>
      <c r="H126" s="55"/>
      <c r="I126" s="55"/>
      <c r="J126" s="55"/>
      <c r="K126" s="55"/>
      <c r="L126" s="55"/>
      <c r="M126" s="55"/>
      <c r="N126" s="55"/>
      <c r="O126" s="55"/>
    </row>
    <row r="127" spans="1:15" hidden="1" x14ac:dyDescent="0.2">
      <c r="A127" s="55"/>
      <c r="B127" s="55"/>
      <c r="C127" s="55"/>
      <c r="D127" s="55"/>
      <c r="E127" s="55"/>
      <c r="F127" s="55"/>
      <c r="G127" s="55"/>
      <c r="H127" s="55"/>
      <c r="I127" s="55"/>
      <c r="J127" s="55"/>
      <c r="K127" s="55"/>
      <c r="L127" s="55"/>
      <c r="M127" s="55"/>
      <c r="N127" s="55"/>
      <c r="O127" s="55"/>
    </row>
    <row r="128" spans="1:15" hidden="1" x14ac:dyDescent="0.2">
      <c r="A128" s="55"/>
      <c r="B128" s="55"/>
      <c r="C128" s="55"/>
      <c r="D128" s="55"/>
      <c r="E128" s="55"/>
      <c r="F128" s="55"/>
      <c r="G128" s="55"/>
      <c r="H128" s="55"/>
      <c r="I128" s="55"/>
      <c r="J128" s="55"/>
      <c r="K128" s="55"/>
      <c r="L128" s="55"/>
      <c r="M128" s="55"/>
      <c r="N128" s="55"/>
      <c r="O128" s="55"/>
    </row>
    <row r="129" spans="1:15" hidden="1" x14ac:dyDescent="0.2">
      <c r="A129" s="55"/>
      <c r="B129" s="55"/>
      <c r="C129" s="55"/>
      <c r="D129" s="55"/>
      <c r="E129" s="55"/>
      <c r="F129" s="55"/>
      <c r="G129" s="55"/>
      <c r="H129" s="55"/>
      <c r="I129" s="55"/>
      <c r="J129" s="55"/>
      <c r="K129" s="55"/>
      <c r="L129" s="55"/>
      <c r="M129" s="55"/>
      <c r="N129" s="55"/>
      <c r="O129" s="55"/>
    </row>
    <row r="130" spans="1:15" hidden="1" x14ac:dyDescent="0.2">
      <c r="A130" s="55"/>
      <c r="B130" s="55"/>
      <c r="C130" s="55"/>
      <c r="D130" s="55"/>
      <c r="E130" s="55"/>
      <c r="F130" s="55"/>
      <c r="G130" s="55"/>
      <c r="H130" s="55"/>
      <c r="I130" s="55"/>
      <c r="J130" s="55"/>
      <c r="K130" s="55"/>
      <c r="L130" s="55"/>
      <c r="M130" s="55"/>
      <c r="N130" s="55"/>
      <c r="O130" s="55"/>
    </row>
    <row r="131" spans="1:15" hidden="1" x14ac:dyDescent="0.2">
      <c r="A131" s="55"/>
      <c r="B131" s="55"/>
      <c r="C131" s="55"/>
      <c r="D131" s="55"/>
      <c r="E131" s="55"/>
      <c r="F131" s="55"/>
      <c r="G131" s="55"/>
      <c r="H131" s="55"/>
      <c r="I131" s="55"/>
      <c r="J131" s="55"/>
    </row>
    <row r="132" spans="1:15" hidden="1" x14ac:dyDescent="0.2">
      <c r="A132" s="55"/>
      <c r="B132" s="55"/>
      <c r="C132" s="55"/>
      <c r="D132" s="55"/>
      <c r="E132" s="55"/>
      <c r="F132" s="55"/>
      <c r="G132" s="55"/>
      <c r="H132" s="55"/>
      <c r="I132" s="55"/>
      <c r="J132" s="55"/>
    </row>
    <row r="133" spans="1:15" hidden="1" x14ac:dyDescent="0.2">
      <c r="A133" s="55"/>
      <c r="B133" s="55"/>
      <c r="C133" s="55"/>
      <c r="D133" s="55"/>
      <c r="E133" s="55"/>
      <c r="F133" s="55"/>
      <c r="G133" s="55"/>
      <c r="H133" s="55"/>
      <c r="I133" s="55"/>
      <c r="J133" s="55"/>
    </row>
    <row r="134" spans="1:15" hidden="1" x14ac:dyDescent="0.2">
      <c r="A134" s="55"/>
      <c r="B134" s="55"/>
      <c r="C134" s="55"/>
      <c r="D134" s="55"/>
      <c r="E134" s="55"/>
      <c r="F134" s="55"/>
      <c r="G134" s="55"/>
      <c r="H134" s="55"/>
      <c r="I134" s="55"/>
      <c r="J134" s="55"/>
    </row>
    <row r="135" spans="1:15" hidden="1" x14ac:dyDescent="0.2">
      <c r="A135" s="55"/>
      <c r="B135" s="55"/>
      <c r="C135" s="55"/>
      <c r="D135" s="55"/>
      <c r="E135" s="55"/>
      <c r="F135" s="55"/>
      <c r="G135" s="55"/>
      <c r="H135" s="55"/>
      <c r="I135" s="55"/>
      <c r="J135" s="55"/>
    </row>
    <row r="136" spans="1:15" hidden="1" x14ac:dyDescent="0.2">
      <c r="A136" s="55"/>
      <c r="B136" s="55"/>
      <c r="C136" s="55"/>
      <c r="D136" s="55"/>
      <c r="E136" s="55"/>
      <c r="F136" s="55"/>
      <c r="G136" s="55"/>
      <c r="H136" s="55"/>
      <c r="I136" s="55"/>
      <c r="J136" s="55"/>
    </row>
    <row r="137" spans="1:15" hidden="1" x14ac:dyDescent="0.2">
      <c r="A137" s="55"/>
      <c r="B137" s="55"/>
      <c r="C137" s="55"/>
      <c r="D137" s="55"/>
      <c r="E137" s="55"/>
      <c r="F137" s="55"/>
      <c r="G137" s="55"/>
      <c r="H137" s="55"/>
      <c r="I137" s="55"/>
      <c r="J137" s="55"/>
    </row>
    <row r="138" spans="1:15" hidden="1" x14ac:dyDescent="0.2">
      <c r="A138" s="55"/>
      <c r="B138" s="55"/>
      <c r="C138" s="55"/>
      <c r="D138" s="55"/>
      <c r="E138" s="55"/>
      <c r="F138" s="55"/>
      <c r="G138" s="55"/>
      <c r="H138" s="55"/>
      <c r="I138" s="55"/>
      <c r="J138" s="55"/>
    </row>
    <row r="139" spans="1:15" hidden="1" x14ac:dyDescent="0.2">
      <c r="A139" s="55"/>
      <c r="B139" s="55"/>
      <c r="C139" s="55"/>
      <c r="D139" s="55"/>
      <c r="E139" s="55"/>
      <c r="F139" s="55"/>
      <c r="G139" s="55"/>
      <c r="H139" s="55"/>
      <c r="I139" s="55"/>
      <c r="J139" s="55"/>
    </row>
    <row r="140" spans="1:15" hidden="1" x14ac:dyDescent="0.2">
      <c r="G140" s="55"/>
      <c r="H140" s="55"/>
      <c r="I140" s="55"/>
      <c r="J140" s="55"/>
    </row>
    <row r="141" spans="1:15" hidden="1" x14ac:dyDescent="0.2"/>
    <row r="142" spans="1:15" hidden="1" x14ac:dyDescent="0.2"/>
    <row r="143" spans="1:15" hidden="1" x14ac:dyDescent="0.2"/>
    <row r="144" spans="1:1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spans="1:5" hidden="1" x14ac:dyDescent="0.2"/>
    <row r="162" spans="1:5" hidden="1" x14ac:dyDescent="0.2"/>
    <row r="163" spans="1:5" hidden="1" x14ac:dyDescent="0.2"/>
    <row r="164" spans="1:5" hidden="1" x14ac:dyDescent="0.2"/>
    <row r="165" spans="1:5" hidden="1" x14ac:dyDescent="0.2"/>
    <row r="166" spans="1:5" hidden="1" x14ac:dyDescent="0.2"/>
    <row r="167" spans="1:5" hidden="1" x14ac:dyDescent="0.2"/>
    <row r="168" spans="1:5" hidden="1" x14ac:dyDescent="0.2"/>
    <row r="169" spans="1:5" hidden="1" x14ac:dyDescent="0.2"/>
    <row r="170" spans="1:5" hidden="1" x14ac:dyDescent="0.2"/>
    <row r="171" spans="1:5" hidden="1" x14ac:dyDescent="0.2"/>
    <row r="172" spans="1:5" hidden="1" x14ac:dyDescent="0.2"/>
    <row r="173" spans="1:5" hidden="1" x14ac:dyDescent="0.2"/>
    <row r="174" spans="1:5" hidden="1" x14ac:dyDescent="0.2">
      <c r="A174" s="578"/>
      <c r="B174" s="579"/>
      <c r="C174" s="55"/>
      <c r="D174" s="55"/>
      <c r="E174" s="554"/>
    </row>
    <row r="175" spans="1:5" hidden="1" x14ac:dyDescent="0.2"/>
    <row r="176" spans="1:5"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C299" s="278" t="s">
        <v>190</v>
      </c>
    </row>
    <row r="300" spans="1:3" x14ac:dyDescent="0.2">
      <c r="A300" s="279">
        <v>1</v>
      </c>
      <c r="B300" s="105" t="str">
        <f t="shared" ref="B300:B303" si="25">IFERROR(INDEX(H$100:H$300,MATCH(A300&amp;". koht",H$101:H$301,0)),"")</f>
        <v>Argo Sepp, Ivar Viljaste, Kristo Viljaste</v>
      </c>
      <c r="C300" s="55">
        <v>40</v>
      </c>
    </row>
    <row r="301" spans="1:3" x14ac:dyDescent="0.2">
      <c r="A301" s="279">
        <v>2</v>
      </c>
      <c r="B301" s="280" t="str">
        <f t="shared" si="25"/>
        <v>Jaan Sepp, Mait Metsla, Matti Vinni</v>
      </c>
      <c r="C301" s="55">
        <v>34</v>
      </c>
    </row>
    <row r="302" spans="1:3" x14ac:dyDescent="0.2">
      <c r="A302" s="279">
        <v>3</v>
      </c>
      <c r="B302" s="281" t="str">
        <f t="shared" si="25"/>
        <v>Andrei Grintšak, Daniil Alekankin, Emil Murzajev</v>
      </c>
      <c r="C302" s="55">
        <v>30</v>
      </c>
    </row>
    <row r="303" spans="1:3" x14ac:dyDescent="0.2">
      <c r="A303" s="279">
        <v>4</v>
      </c>
      <c r="B303" s="104" t="str">
        <f t="shared" si="25"/>
        <v>Tõnu Kapper, Tõnu Piik, Vladimir Ogneštšikov</v>
      </c>
      <c r="C303" s="55">
        <v>26</v>
      </c>
    </row>
  </sheetData>
  <conditionalFormatting sqref="I10:I11">
    <cfRule type="expression" dxfId="3317" priority="256">
      <formula>FIND(2,I10,1)</formula>
    </cfRule>
    <cfRule type="expression" dxfId="3316" priority="257">
      <formula>FIND(1,I10,1)</formula>
    </cfRule>
  </conditionalFormatting>
  <conditionalFormatting sqref="I7:I9">
    <cfRule type="expression" dxfId="3315" priority="254">
      <formula>FIND(2,I7,1)</formula>
    </cfRule>
    <cfRule type="expression" dxfId="3314" priority="255">
      <formula>FIND(1,I7,1)</formula>
    </cfRule>
  </conditionalFormatting>
  <conditionalFormatting sqref="I14:I18">
    <cfRule type="expression" dxfId="3313" priority="252">
      <formula>FIND(2,I14,1)</formula>
    </cfRule>
    <cfRule type="expression" dxfId="3312" priority="253">
      <formula>FIND(1,I14,1)</formula>
    </cfRule>
  </conditionalFormatting>
  <conditionalFormatting sqref="D7 C8">
    <cfRule type="aboveAverage" dxfId="3311" priority="251"/>
  </conditionalFormatting>
  <conditionalFormatting sqref="E7 C9">
    <cfRule type="aboveAverage" dxfId="3310" priority="250"/>
  </conditionalFormatting>
  <conditionalFormatting sqref="F7 C10">
    <cfRule type="aboveAverage" dxfId="3309" priority="249"/>
  </conditionalFormatting>
  <conditionalFormatting sqref="E8 D9">
    <cfRule type="aboveAverage" dxfId="3308" priority="248"/>
  </conditionalFormatting>
  <conditionalFormatting sqref="G7 C11">
    <cfRule type="aboveAverage" dxfId="3307" priority="247"/>
  </conditionalFormatting>
  <conditionalFormatting sqref="F8 D10">
    <cfRule type="aboveAverage" dxfId="3306" priority="246"/>
  </conditionalFormatting>
  <conditionalFormatting sqref="G8 D11">
    <cfRule type="aboveAverage" dxfId="3305" priority="245"/>
  </conditionalFormatting>
  <conditionalFormatting sqref="F9 E10">
    <cfRule type="aboveAverage" dxfId="3304" priority="244"/>
  </conditionalFormatting>
  <conditionalFormatting sqref="G9 E11">
    <cfRule type="aboveAverage" dxfId="3303" priority="243"/>
  </conditionalFormatting>
  <conditionalFormatting sqref="F11 G10">
    <cfRule type="aboveAverage" dxfId="3302" priority="242"/>
  </conditionalFormatting>
  <conditionalFormatting sqref="I21:I25">
    <cfRule type="expression" dxfId="3301" priority="240">
      <formula>FIND(2,I21,1)</formula>
    </cfRule>
    <cfRule type="expression" dxfId="3300" priority="241">
      <formula>FIND(1,I21,1)</formula>
    </cfRule>
  </conditionalFormatting>
  <conditionalFormatting sqref="K14:K18">
    <cfRule type="expression" dxfId="3299" priority="232">
      <formula>AND(J14=3,IF(COUNTIF(J$14:J$18,"=3")&gt;=2,TRUE))</formula>
    </cfRule>
    <cfRule type="expression" dxfId="3298" priority="238">
      <formula>AND(J14=1,IF(COUNTIF(J$14:J$18,"=1")&gt;=2,TRUE))</formula>
    </cfRule>
    <cfRule type="expression" dxfId="3297" priority="239">
      <formula>AND(J14=2,IF(COUNTIF(J$14:J$18,"=2")&gt;=2,TRUE))</formula>
    </cfRule>
  </conditionalFormatting>
  <conditionalFormatting sqref="K21:K25">
    <cfRule type="expression" dxfId="3296" priority="231">
      <formula>AND(J21=3,IF(COUNTIF(J$21:J$25,"=3")&gt;=2,TRUE))</formula>
    </cfRule>
    <cfRule type="expression" dxfId="3295" priority="236">
      <formula>AND(J21=1,IF(COUNTIF(J$21:J$25,"=1")&gt;=2,TRUE))</formula>
    </cfRule>
    <cfRule type="expression" dxfId="3294" priority="237">
      <formula>AND(J21=2,IF(COUNTIF(J$21:J$25,"=2")&gt;=2,TRUE))</formula>
    </cfRule>
  </conditionalFormatting>
  <conditionalFormatting sqref="K7:K11">
    <cfRule type="expression" dxfId="3293" priority="233">
      <formula>AND(J7=3,IF(COUNTIF(J$7:J$11,"=3")&gt;=2,TRUE))</formula>
    </cfRule>
    <cfRule type="expression" dxfId="3292" priority="234">
      <formula>AND(J7=1,IF(COUNTIF(J$7:J$11,"=1")&gt;=2,TRUE))</formula>
    </cfRule>
    <cfRule type="expression" dxfId="3291" priority="235">
      <formula>AND(J7=2,IF(COUNTIF(J$7:J$11,"=2")&gt;=2,TRUE))</formula>
    </cfRule>
  </conditionalFormatting>
  <conditionalFormatting sqref="L14:L18">
    <cfRule type="expression" dxfId="3290" priority="225">
      <formula>OR(J14=0,J14=4)</formula>
    </cfRule>
    <cfRule type="expression" dxfId="3289" priority="229">
      <formula>AND(J14=1,IF(COUNTIF(J$14:J$18,"=1")=1,TRUE))</formula>
    </cfRule>
    <cfRule type="expression" dxfId="3288" priority="230">
      <formula>AND(J14=3,IF(COUNTIF(J$14:J$18,"=3")=1,TRUE))</formula>
    </cfRule>
  </conditionalFormatting>
  <conditionalFormatting sqref="L21:L25">
    <cfRule type="expression" dxfId="3287" priority="226">
      <formula>OR(J21=0,J21=4)</formula>
    </cfRule>
    <cfRule type="expression" dxfId="3286" priority="227">
      <formula>AND(J21=1,IF(COUNTIF(J$21:J$25,"=1")=1,TRUE))</formula>
    </cfRule>
    <cfRule type="expression" dxfId="3285" priority="228">
      <formula>AND(J21=3,IF(COUNTIF(J$21:J$25,"=3")=1,TRUE))</formula>
    </cfRule>
  </conditionalFormatting>
  <conditionalFormatting sqref="L7:L11">
    <cfRule type="expression" dxfId="3284" priority="222">
      <formula>OR(J7=0,J7=4)</formula>
    </cfRule>
    <cfRule type="expression" dxfId="3283" priority="223">
      <formula>AND(J7=1,IF(COUNTIF(J$7:J$11,"=1")=1,TRUE))</formula>
    </cfRule>
    <cfRule type="expression" dxfId="3282" priority="224">
      <formula>AND(J7=3,IF(COUNTIF(J$7:J$11,"=3")=1,TRUE))</formula>
    </cfRule>
  </conditionalFormatting>
  <conditionalFormatting sqref="H7:H11">
    <cfRule type="expression" dxfId="3281" priority="213">
      <formula>AND(J7=1,IF(COUNTIF(J$7:J$11,"=1")&gt;=2,TRUE))</formula>
    </cfRule>
    <cfRule type="expression" dxfId="3280" priority="220">
      <formula>AND(J7=3,IF(COUNTIF(J$7:J$11,"=3")&gt;=2,TRUE))</formula>
    </cfRule>
    <cfRule type="expression" dxfId="3279" priority="221">
      <formula>AND(J7=2,IF(COUNTIF(J$7:J$11,"=2")&gt;=2,TRUE))</formula>
    </cfRule>
  </conditionalFormatting>
  <conditionalFormatting sqref="H14:H18">
    <cfRule type="expression" dxfId="3278" priority="214">
      <formula>AND(J14=1,IF(COUNTIF(J$14:J$18,"=1")&gt;=2,TRUE))</formula>
    </cfRule>
    <cfRule type="expression" dxfId="3277" priority="218">
      <formula>AND(J14=3,IF(COUNTIF(J$14:J$18,"=3")&gt;=2,TRUE))</formula>
    </cfRule>
    <cfRule type="expression" dxfId="3276" priority="219">
      <formula>AND(J14=2,IF(COUNTIF(J$14:J$18,"=2")&gt;=2,TRUE))</formula>
    </cfRule>
  </conditionalFormatting>
  <conditionalFormatting sqref="H21:H25">
    <cfRule type="expression" dxfId="3275" priority="215">
      <formula>AND(J21=1,IF(COUNTIF(J$21:J$25,"=1")&gt;=2,TRUE))</formula>
    </cfRule>
    <cfRule type="expression" dxfId="3274" priority="216">
      <formula>AND(J21=3,IF(COUNTIF(J$21:J$25,"=3")&gt;=2,TRUE))</formula>
    </cfRule>
    <cfRule type="expression" dxfId="3273" priority="217">
      <formula>AND(J21=2,IF(COUNTIF(J$21:J$25,"=2")&gt;=2,TRUE))</formula>
    </cfRule>
  </conditionalFormatting>
  <conditionalFormatting sqref="C69 C73:C74">
    <cfRule type="aboveAverage" dxfId="3272" priority="210"/>
  </conditionalFormatting>
  <conditionalFormatting sqref="D69 D73:D74">
    <cfRule type="aboveAverage" dxfId="3271" priority="209"/>
  </conditionalFormatting>
  <conditionalFormatting sqref="I28:I32">
    <cfRule type="expression" dxfId="3270" priority="207">
      <formula>FIND(2,I28,1)</formula>
    </cfRule>
    <cfRule type="expression" dxfId="3269" priority="208">
      <formula>FIND(1,I28,1)</formula>
    </cfRule>
  </conditionalFormatting>
  <conditionalFormatting sqref="K28:K32">
    <cfRule type="expression" dxfId="3268" priority="204">
      <formula>AND(J28=3,IF(COUNTIF(J$28:J$32,"=3")&gt;=2,TRUE))</formula>
    </cfRule>
    <cfRule type="expression" dxfId="3267" priority="205">
      <formula>AND(J28=1,IF(COUNTIF(J$28:J$32,"=1")&gt;=2,TRUE))</formula>
    </cfRule>
    <cfRule type="expression" dxfId="3266" priority="206">
      <formula>AND(J28=2,IF(COUNTIF(J$28:J$32,"=2")&gt;=2,TRUE))</formula>
    </cfRule>
  </conditionalFormatting>
  <conditionalFormatting sqref="L28:L32">
    <cfRule type="expression" dxfId="3265" priority="201">
      <formula>OR(J28=0,J28=4)</formula>
    </cfRule>
    <cfRule type="expression" dxfId="3264" priority="202">
      <formula>AND(J28=1,IF(COUNTIF(J$28:J$32,"=1")=1,TRUE))</formula>
    </cfRule>
    <cfRule type="expression" dxfId="3263" priority="203">
      <formula>AND(J28=3,IF(COUNTIF(J$28:J$32,"=3")=1,TRUE))</formula>
    </cfRule>
  </conditionalFormatting>
  <conditionalFormatting sqref="H28:H32">
    <cfRule type="expression" dxfId="3262" priority="198">
      <formula>AND(J28=1,IF(COUNTIF(J$28:J$32,"=1")&gt;=2,TRUE))</formula>
    </cfRule>
    <cfRule type="expression" dxfId="3261" priority="199">
      <formula>AND(J28=3,IF(COUNTIF(J$28:J$32,"=3")&gt;=2,TRUE))</formula>
    </cfRule>
    <cfRule type="expression" dxfId="3260" priority="200">
      <formula>AND(J28=2,IF(COUNTIF(J$28:J$32,"=2")&gt;=2,TRUE))</formula>
    </cfRule>
  </conditionalFormatting>
  <conditionalFormatting sqref="B9">
    <cfRule type="duplicateValues" dxfId="3259" priority="261"/>
  </conditionalFormatting>
  <conditionalFormatting sqref="N21:N24">
    <cfRule type="duplicateValues" dxfId="3258" priority="195"/>
  </conditionalFormatting>
  <conditionalFormatting sqref="N26:N31">
    <cfRule type="duplicateValues" dxfId="3257" priority="194"/>
  </conditionalFormatting>
  <conditionalFormatting sqref="N15:N17 N19:N20">
    <cfRule type="duplicateValues" dxfId="3256" priority="262"/>
  </conditionalFormatting>
  <conditionalFormatting sqref="N10 N3:N6 N12:N14">
    <cfRule type="duplicateValues" dxfId="3255" priority="263"/>
  </conditionalFormatting>
  <conditionalFormatting sqref="D14 C15">
    <cfRule type="aboveAverage" dxfId="3254" priority="135"/>
  </conditionalFormatting>
  <conditionalFormatting sqref="E14 C16">
    <cfRule type="aboveAverage" dxfId="3253" priority="134"/>
  </conditionalFormatting>
  <conditionalFormatting sqref="F14 C17">
    <cfRule type="aboveAverage" dxfId="3252" priority="133"/>
  </conditionalFormatting>
  <conditionalFormatting sqref="E15 D16">
    <cfRule type="aboveAverage" dxfId="3251" priority="132"/>
  </conditionalFormatting>
  <conditionalFormatting sqref="G14 C18">
    <cfRule type="aboveAverage" dxfId="3250" priority="131"/>
  </conditionalFormatting>
  <conditionalFormatting sqref="F15 D17">
    <cfRule type="aboveAverage" dxfId="3249" priority="130"/>
  </conditionalFormatting>
  <conditionalFormatting sqref="G15 D18">
    <cfRule type="aboveAverage" dxfId="3248" priority="129"/>
  </conditionalFormatting>
  <conditionalFormatting sqref="F16 E17">
    <cfRule type="aboveAverage" dxfId="3247" priority="128"/>
  </conditionalFormatting>
  <conditionalFormatting sqref="G16 E18">
    <cfRule type="aboveAverage" dxfId="3246" priority="127"/>
  </conditionalFormatting>
  <conditionalFormatting sqref="F18 G17">
    <cfRule type="aboveAverage" dxfId="3245" priority="126"/>
  </conditionalFormatting>
  <conditionalFormatting sqref="B16">
    <cfRule type="duplicateValues" dxfId="3244" priority="136"/>
  </conditionalFormatting>
  <conditionalFormatting sqref="D21 C22">
    <cfRule type="aboveAverage" dxfId="3243" priority="124"/>
  </conditionalFormatting>
  <conditionalFormatting sqref="E21 C23">
    <cfRule type="aboveAverage" dxfId="3242" priority="123"/>
  </conditionalFormatting>
  <conditionalFormatting sqref="F21 C24">
    <cfRule type="aboveAverage" dxfId="3241" priority="122"/>
  </conditionalFormatting>
  <conditionalFormatting sqref="E22 D23">
    <cfRule type="aboveAverage" dxfId="3240" priority="121"/>
  </conditionalFormatting>
  <conditionalFormatting sqref="G21 C25">
    <cfRule type="aboveAverage" dxfId="3239" priority="120"/>
  </conditionalFormatting>
  <conditionalFormatting sqref="F22 D24">
    <cfRule type="aboveAverage" dxfId="3238" priority="119"/>
  </conditionalFormatting>
  <conditionalFormatting sqref="G22 D25">
    <cfRule type="aboveAverage" dxfId="3237" priority="118"/>
  </conditionalFormatting>
  <conditionalFormatting sqref="F23 E24">
    <cfRule type="aboveAverage" dxfId="3236" priority="117"/>
  </conditionalFormatting>
  <conditionalFormatting sqref="G23 E25">
    <cfRule type="aboveAverage" dxfId="3235" priority="116"/>
  </conditionalFormatting>
  <conditionalFormatting sqref="F25 G24">
    <cfRule type="aboveAverage" dxfId="3234" priority="115"/>
  </conditionalFormatting>
  <conditionalFormatting sqref="B23">
    <cfRule type="duplicateValues" dxfId="3233" priority="125"/>
  </conditionalFormatting>
  <conditionalFormatting sqref="D28 C29">
    <cfRule type="aboveAverage" dxfId="3232" priority="113"/>
  </conditionalFormatting>
  <conditionalFormatting sqref="E28 C30">
    <cfRule type="aboveAverage" dxfId="3231" priority="112"/>
  </conditionalFormatting>
  <conditionalFormatting sqref="F28 C31">
    <cfRule type="aboveAverage" dxfId="3230" priority="111"/>
  </conditionalFormatting>
  <conditionalFormatting sqref="E29 D30">
    <cfRule type="aboveAverage" dxfId="3229" priority="110"/>
  </conditionalFormatting>
  <conditionalFormatting sqref="G28 C32">
    <cfRule type="aboveAverage" dxfId="3228" priority="109"/>
  </conditionalFormatting>
  <conditionalFormatting sqref="F29 D31">
    <cfRule type="aboveAverage" dxfId="3227" priority="108"/>
  </conditionalFormatting>
  <conditionalFormatting sqref="G29 D32">
    <cfRule type="aboveAverage" dxfId="3226" priority="107"/>
  </conditionalFormatting>
  <conditionalFormatting sqref="F30 E31">
    <cfRule type="aboveAverage" dxfId="3225" priority="106"/>
  </conditionalFormatting>
  <conditionalFormatting sqref="G30 E32">
    <cfRule type="aboveAverage" dxfId="3224" priority="105"/>
  </conditionalFormatting>
  <conditionalFormatting sqref="F32 G31">
    <cfRule type="aboveAverage" dxfId="3223" priority="104"/>
  </conditionalFormatting>
  <conditionalFormatting sqref="B30">
    <cfRule type="duplicateValues" dxfId="3222" priority="114"/>
  </conditionalFormatting>
  <conditionalFormatting sqref="I38:I39">
    <cfRule type="expression" dxfId="3221" priority="96">
      <formula>FIND(2,I38,1)</formula>
    </cfRule>
    <cfRule type="expression" dxfId="3220" priority="97">
      <formula>FIND(1,I38,1)</formula>
    </cfRule>
  </conditionalFormatting>
  <conditionalFormatting sqref="I35:I37">
    <cfRule type="expression" dxfId="3219" priority="94">
      <formula>FIND(2,I35,1)</formula>
    </cfRule>
    <cfRule type="expression" dxfId="3218" priority="95">
      <formula>FIND(1,I35,1)</formula>
    </cfRule>
  </conditionalFormatting>
  <conditionalFormatting sqref="I42:I46">
    <cfRule type="expression" dxfId="3217" priority="92">
      <formula>FIND(2,I42,1)</formula>
    </cfRule>
    <cfRule type="expression" dxfId="3216" priority="93">
      <formula>FIND(1,I42,1)</formula>
    </cfRule>
  </conditionalFormatting>
  <conditionalFormatting sqref="D35 C36">
    <cfRule type="aboveAverage" dxfId="3215" priority="91"/>
  </conditionalFormatting>
  <conditionalFormatting sqref="E35 C37">
    <cfRule type="aboveAverage" dxfId="3214" priority="90"/>
  </conditionalFormatting>
  <conditionalFormatting sqref="F35 C38">
    <cfRule type="aboveAverage" dxfId="3213" priority="89"/>
  </conditionalFormatting>
  <conditionalFormatting sqref="E36 D37">
    <cfRule type="aboveAverage" dxfId="3212" priority="88"/>
  </conditionalFormatting>
  <conditionalFormatting sqref="G35 C39">
    <cfRule type="aboveAverage" dxfId="3211" priority="87"/>
  </conditionalFormatting>
  <conditionalFormatting sqref="F36 D38">
    <cfRule type="aboveAverage" dxfId="3210" priority="86"/>
  </conditionalFormatting>
  <conditionalFormatting sqref="G36 D39">
    <cfRule type="aboveAverage" dxfId="3209" priority="85"/>
  </conditionalFormatting>
  <conditionalFormatting sqref="F37 E38">
    <cfRule type="aboveAverage" dxfId="3208" priority="84"/>
  </conditionalFormatting>
  <conditionalFormatting sqref="G37 E39">
    <cfRule type="aboveAverage" dxfId="3207" priority="83"/>
  </conditionalFormatting>
  <conditionalFormatting sqref="F39 G38">
    <cfRule type="aboveAverage" dxfId="3206" priority="82"/>
  </conditionalFormatting>
  <conditionalFormatting sqref="I49:I53">
    <cfRule type="expression" dxfId="3205" priority="80">
      <formula>FIND(2,I49,1)</formula>
    </cfRule>
    <cfRule type="expression" dxfId="3204" priority="81">
      <formula>FIND(1,I49,1)</formula>
    </cfRule>
  </conditionalFormatting>
  <conditionalFormatting sqref="K42:K46">
    <cfRule type="expression" dxfId="3203" priority="72">
      <formula>AND(J42=3,IF(COUNTIF(J$14:J$18,"=3")&gt;=2,TRUE))</formula>
    </cfRule>
    <cfRule type="expression" dxfId="3202" priority="78">
      <formula>AND(J42=1,IF(COUNTIF(J$14:J$18,"=1")&gt;=2,TRUE))</formula>
    </cfRule>
    <cfRule type="expression" dxfId="3201" priority="79">
      <formula>AND(J42=2,IF(COUNTIF(J$14:J$18,"=2")&gt;=2,TRUE))</formula>
    </cfRule>
  </conditionalFormatting>
  <conditionalFormatting sqref="K49:K53">
    <cfRule type="expression" dxfId="3200" priority="71">
      <formula>AND(J49=3,IF(COUNTIF(J$21:J$25,"=3")&gt;=2,TRUE))</formula>
    </cfRule>
    <cfRule type="expression" dxfId="3199" priority="76">
      <formula>AND(J49=1,IF(COUNTIF(J$21:J$25,"=1")&gt;=2,TRUE))</formula>
    </cfRule>
    <cfRule type="expression" dxfId="3198" priority="77">
      <formula>AND(J49=2,IF(COUNTIF(J$21:J$25,"=2")&gt;=2,TRUE))</formula>
    </cfRule>
  </conditionalFormatting>
  <conditionalFormatting sqref="K35:K39">
    <cfRule type="expression" dxfId="3197" priority="73">
      <formula>AND(J35=3,IF(COUNTIF(J$7:J$11,"=3")&gt;=2,TRUE))</formula>
    </cfRule>
    <cfRule type="expression" dxfId="3196" priority="74">
      <formula>AND(J35=1,IF(COUNTIF(J$7:J$11,"=1")&gt;=2,TRUE))</formula>
    </cfRule>
    <cfRule type="expression" dxfId="3195" priority="75">
      <formula>AND(J35=2,IF(COUNTIF(J$7:J$11,"=2")&gt;=2,TRUE))</formula>
    </cfRule>
  </conditionalFormatting>
  <conditionalFormatting sqref="L42:L46">
    <cfRule type="expression" dxfId="3194" priority="65">
      <formula>OR(J42=0,J42=4)</formula>
    </cfRule>
    <cfRule type="expression" dxfId="3193" priority="69">
      <formula>AND(J42=1,IF(COUNTIF(J$14:J$18,"=1")=1,TRUE))</formula>
    </cfRule>
    <cfRule type="expression" dxfId="3192" priority="70">
      <formula>AND(J42=3,IF(COUNTIF(J$14:J$18,"=3")=1,TRUE))</formula>
    </cfRule>
  </conditionalFormatting>
  <conditionalFormatting sqref="L49:L53">
    <cfRule type="expression" dxfId="3191" priority="66">
      <formula>OR(J49=0,J49=4)</formula>
    </cfRule>
    <cfRule type="expression" dxfId="3190" priority="67">
      <formula>AND(J49=1,IF(COUNTIF(J$21:J$25,"=1")=1,TRUE))</formula>
    </cfRule>
    <cfRule type="expression" dxfId="3189" priority="68">
      <formula>AND(J49=3,IF(COUNTIF(J$21:J$25,"=3")=1,TRUE))</formula>
    </cfRule>
  </conditionalFormatting>
  <conditionalFormatting sqref="L35:L39">
    <cfRule type="expression" dxfId="3188" priority="62">
      <formula>OR(J35=0,J35=4)</formula>
    </cfRule>
    <cfRule type="expression" dxfId="3187" priority="63">
      <formula>AND(J35=1,IF(COUNTIF(J$7:J$11,"=1")=1,TRUE))</formula>
    </cfRule>
    <cfRule type="expression" dxfId="3186" priority="64">
      <formula>AND(J35=3,IF(COUNTIF(J$7:J$11,"=3")=1,TRUE))</formula>
    </cfRule>
  </conditionalFormatting>
  <conditionalFormatting sqref="H35:H39">
    <cfRule type="expression" dxfId="3185" priority="53">
      <formula>AND(J35=1,IF(COUNTIF(J$7:J$11,"=1")&gt;=2,TRUE))</formula>
    </cfRule>
    <cfRule type="expression" dxfId="3184" priority="60">
      <formula>AND(J35=3,IF(COUNTIF(J$7:J$11,"=3")&gt;=2,TRUE))</formula>
    </cfRule>
    <cfRule type="expression" dxfId="3183" priority="61">
      <formula>AND(J35=2,IF(COUNTIF(J$7:J$11,"=2")&gt;=2,TRUE))</formula>
    </cfRule>
  </conditionalFormatting>
  <conditionalFormatting sqref="H42:H46">
    <cfRule type="expression" dxfId="3182" priority="54">
      <formula>AND(J42=1,IF(COUNTIF(J$14:J$18,"=1")&gt;=2,TRUE))</formula>
    </cfRule>
    <cfRule type="expression" dxfId="3181" priority="58">
      <formula>AND(J42=3,IF(COUNTIF(J$14:J$18,"=3")&gt;=2,TRUE))</formula>
    </cfRule>
    <cfRule type="expression" dxfId="3180" priority="59">
      <formula>AND(J42=2,IF(COUNTIF(J$14:J$18,"=2")&gt;=2,TRUE))</formula>
    </cfRule>
  </conditionalFormatting>
  <conditionalFormatting sqref="H49:H53">
    <cfRule type="expression" dxfId="3179" priority="55">
      <formula>AND(J49=1,IF(COUNTIF(J$21:J$25,"=1")&gt;=2,TRUE))</formula>
    </cfRule>
    <cfRule type="expression" dxfId="3178" priority="56">
      <formula>AND(J49=3,IF(COUNTIF(J$21:J$25,"=3")&gt;=2,TRUE))</formula>
    </cfRule>
    <cfRule type="expression" dxfId="3177" priority="57">
      <formula>AND(J49=2,IF(COUNTIF(J$21:J$25,"=2")&gt;=2,TRUE))</formula>
    </cfRule>
  </conditionalFormatting>
  <conditionalFormatting sqref="I56:I60">
    <cfRule type="expression" dxfId="3176" priority="51">
      <formula>FIND(2,I56,1)</formula>
    </cfRule>
    <cfRule type="expression" dxfId="3175" priority="52">
      <formula>FIND(1,I56,1)</formula>
    </cfRule>
  </conditionalFormatting>
  <conditionalFormatting sqref="K56:K60">
    <cfRule type="expression" dxfId="3174" priority="48">
      <formula>AND(J56=3,IF(COUNTIF(J$28:J$32,"=3")&gt;=2,TRUE))</formula>
    </cfRule>
    <cfRule type="expression" dxfId="3173" priority="49">
      <formula>AND(J56=1,IF(COUNTIF(J$28:J$32,"=1")&gt;=2,TRUE))</formula>
    </cfRule>
    <cfRule type="expression" dxfId="3172" priority="50">
      <formula>AND(J56=2,IF(COUNTIF(J$28:J$32,"=2")&gt;=2,TRUE))</formula>
    </cfRule>
  </conditionalFormatting>
  <conditionalFormatting sqref="L56:L60">
    <cfRule type="expression" dxfId="3171" priority="45">
      <formula>OR(J56=0,J56=4)</formula>
    </cfRule>
    <cfRule type="expression" dxfId="3170" priority="46">
      <formula>AND(J56=1,IF(COUNTIF(J$28:J$32,"=1")=1,TRUE))</formula>
    </cfRule>
    <cfRule type="expression" dxfId="3169" priority="47">
      <formula>AND(J56=3,IF(COUNTIF(J$28:J$32,"=3")=1,TRUE))</formula>
    </cfRule>
  </conditionalFormatting>
  <conditionalFormatting sqref="H56:H60">
    <cfRule type="expression" dxfId="3168" priority="42">
      <formula>AND(J56=1,IF(COUNTIF(J$28:J$32,"=1")&gt;=2,TRUE))</formula>
    </cfRule>
    <cfRule type="expression" dxfId="3167" priority="43">
      <formula>AND(J56=3,IF(COUNTIF(J$28:J$32,"=3")&gt;=2,TRUE))</formula>
    </cfRule>
    <cfRule type="expression" dxfId="3166" priority="44">
      <formula>AND(J56=2,IF(COUNTIF(J$28:J$32,"=2")&gt;=2,TRUE))</formula>
    </cfRule>
  </conditionalFormatting>
  <conditionalFormatting sqref="B37">
    <cfRule type="duplicateValues" dxfId="3165" priority="101"/>
  </conditionalFormatting>
  <conditionalFormatting sqref="N49:N52">
    <cfRule type="duplicateValues" dxfId="3164" priority="41"/>
  </conditionalFormatting>
  <conditionalFormatting sqref="N54:N59">
    <cfRule type="duplicateValues" dxfId="3163" priority="40"/>
  </conditionalFormatting>
  <conditionalFormatting sqref="N43:N45 N47:N48">
    <cfRule type="duplicateValues" dxfId="3162" priority="102"/>
  </conditionalFormatting>
  <conditionalFormatting sqref="N38 N40:N42">
    <cfRule type="duplicateValues" dxfId="3161" priority="103"/>
  </conditionalFormatting>
  <conditionalFormatting sqref="D42 C43">
    <cfRule type="aboveAverage" dxfId="3160" priority="38"/>
  </conditionalFormatting>
  <conditionalFormatting sqref="E42 C44">
    <cfRule type="aboveAverage" dxfId="3159" priority="37"/>
  </conditionalFormatting>
  <conditionalFormatting sqref="F42 C45">
    <cfRule type="aboveAverage" dxfId="3158" priority="36"/>
  </conditionalFormatting>
  <conditionalFormatting sqref="E43 D44">
    <cfRule type="aboveAverage" dxfId="3157" priority="35"/>
  </conditionalFormatting>
  <conditionalFormatting sqref="G42 C46">
    <cfRule type="aboveAverage" dxfId="3156" priority="34"/>
  </conditionalFormatting>
  <conditionalFormatting sqref="F43 D45">
    <cfRule type="aboveAverage" dxfId="3155" priority="33"/>
  </conditionalFormatting>
  <conditionalFormatting sqref="G43 D46">
    <cfRule type="aboveAverage" dxfId="3154" priority="32"/>
  </conditionalFormatting>
  <conditionalFormatting sqref="F44 E45">
    <cfRule type="aboveAverage" dxfId="3153" priority="31"/>
  </conditionalFormatting>
  <conditionalFormatting sqref="G44 E46">
    <cfRule type="aboveAverage" dxfId="3152" priority="30"/>
  </conditionalFormatting>
  <conditionalFormatting sqref="F46 G45">
    <cfRule type="aboveAverage" dxfId="3151" priority="29"/>
  </conditionalFormatting>
  <conditionalFormatting sqref="B44">
    <cfRule type="duplicateValues" dxfId="3150" priority="39"/>
  </conditionalFormatting>
  <conditionalFormatting sqref="D49 C50">
    <cfRule type="aboveAverage" dxfId="3149" priority="27"/>
  </conditionalFormatting>
  <conditionalFormatting sqref="E49 C51">
    <cfRule type="aboveAverage" dxfId="3148" priority="26"/>
  </conditionalFormatting>
  <conditionalFormatting sqref="F49 C52">
    <cfRule type="aboveAverage" dxfId="3147" priority="25"/>
  </conditionalFormatting>
  <conditionalFormatting sqref="E50 D51">
    <cfRule type="aboveAverage" dxfId="3146" priority="24"/>
  </conditionalFormatting>
  <conditionalFormatting sqref="G49 C53">
    <cfRule type="aboveAverage" dxfId="3145" priority="23"/>
  </conditionalFormatting>
  <conditionalFormatting sqref="F50 D52">
    <cfRule type="aboveAverage" dxfId="3144" priority="22"/>
  </conditionalFormatting>
  <conditionalFormatting sqref="G50 D53">
    <cfRule type="aboveAverage" dxfId="3143" priority="21"/>
  </conditionalFormatting>
  <conditionalFormatting sqref="F51 E52">
    <cfRule type="aboveAverage" dxfId="3142" priority="20"/>
  </conditionalFormatting>
  <conditionalFormatting sqref="G51 E53">
    <cfRule type="aboveAverage" dxfId="3141" priority="19"/>
  </conditionalFormatting>
  <conditionalFormatting sqref="F53 G52">
    <cfRule type="aboveAverage" dxfId="3140" priority="18"/>
  </conditionalFormatting>
  <conditionalFormatting sqref="B51">
    <cfRule type="duplicateValues" dxfId="3139" priority="28"/>
  </conditionalFormatting>
  <conditionalFormatting sqref="D56 C57">
    <cfRule type="aboveAverage" dxfId="3138" priority="16"/>
  </conditionalFormatting>
  <conditionalFormatting sqref="E56 C58">
    <cfRule type="aboveAverage" dxfId="3137" priority="15"/>
  </conditionalFormatting>
  <conditionalFormatting sqref="F56 C59">
    <cfRule type="aboveAverage" dxfId="3136" priority="14"/>
  </conditionalFormatting>
  <conditionalFormatting sqref="E57 D58">
    <cfRule type="aboveAverage" dxfId="3135" priority="13"/>
  </conditionalFormatting>
  <conditionalFormatting sqref="G56 C60">
    <cfRule type="aboveAverage" dxfId="3134" priority="12"/>
  </conditionalFormatting>
  <conditionalFormatting sqref="F57 D59">
    <cfRule type="aboveAverage" dxfId="3133" priority="11"/>
  </conditionalFormatting>
  <conditionalFormatting sqref="G57 D60">
    <cfRule type="aboveAverage" dxfId="3132" priority="10"/>
  </conditionalFormatting>
  <conditionalFormatting sqref="F58 E59">
    <cfRule type="aboveAverage" dxfId="3131" priority="9"/>
  </conditionalFormatting>
  <conditionalFormatting sqref="G58 E60">
    <cfRule type="aboveAverage" dxfId="3130" priority="8"/>
  </conditionalFormatting>
  <conditionalFormatting sqref="F60 G59">
    <cfRule type="aboveAverage" dxfId="3129" priority="7"/>
  </conditionalFormatting>
  <conditionalFormatting sqref="B58">
    <cfRule type="duplicateValues" dxfId="3128" priority="17"/>
  </conditionalFormatting>
  <conditionalFormatting sqref="W7:W11 W14:W18 W21:W25 W28:W32 W35:W39 W42:W46 W49:W53 W56:W60">
    <cfRule type="expression" dxfId="3127" priority="1">
      <formula>AND(X7="",FIND(",",W7))</formula>
    </cfRule>
    <cfRule type="expression" dxfId="3126" priority="6">
      <formula>AND(X7="",COUNTIF(W7,"*,*")=0)</formula>
    </cfRule>
  </conditionalFormatting>
  <conditionalFormatting sqref="Y7:Y11 Y14:Y18 Y21:Y25 Y28:Y32 Y35:Y39 Y42:Y46 Y49:Y53 Y56:Y60">
    <cfRule type="expression" dxfId="3125" priority="5">
      <formula>AND(Z7="",COUNTIF(Y7,"*,*")=0)</formula>
    </cfRule>
  </conditionalFormatting>
  <conditionalFormatting sqref="AA7:AA11 AA14:AA18 AA21:AA25 AA28:AA32 AA35:AA39 AA42:AA46 AA49:AA53 AA56:AA60">
    <cfRule type="expression" dxfId="3124" priority="4">
      <formula>AND(AB7="",COUNTIF(AA7,"*,*")=0)</formula>
    </cfRule>
  </conditionalFormatting>
  <conditionalFormatting sqref="U7:U11 U14:U18 U21:U25 U28:U32 U35:U39 U42:U46 U49:U53 U56:U60">
    <cfRule type="expression" dxfId="3123" priority="3">
      <formula>AND(V7="",COUNTIF(U7,"*,*")=0)</formula>
    </cfRule>
  </conditionalFormatting>
  <conditionalFormatting sqref="S7:S11 S14:S18 S21:S25 S28:S32 S35:S39 S42:S46 S49:S53 S56:S60">
    <cfRule type="expression" dxfId="3122" priority="2">
      <formula>AND(T7="",COUNTIF(S7,"*,*")=0)</formula>
    </cfRule>
  </conditionalFormatting>
  <conditionalFormatting sqref="B300:B303">
    <cfRule type="containsBlanks" dxfId="3121" priority="2592">
      <formula>LEN(TRIM(B300))=0</formula>
    </cfRule>
    <cfRule type="duplicateValues" dxfId="3120" priority="2593"/>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pageSetUpPr fitToPage="1"/>
  </sheetPr>
  <dimension ref="A1:N308"/>
  <sheetViews>
    <sheetView showGridLines="0" showRowColHeaders="0" zoomScaleNormal="100" workbookViewId="0">
      <pane ySplit="2" topLeftCell="A3" activePane="bottomLeft" state="frozen"/>
      <selection activeCell="K1" sqref="K1"/>
      <selection pane="bottomLeft" activeCell="I1" sqref="I1"/>
    </sheetView>
  </sheetViews>
  <sheetFormatPr defaultRowHeight="12.75" x14ac:dyDescent="0.2"/>
  <cols>
    <col min="1" max="1" width="5.5703125" style="277" customWidth="1"/>
    <col min="2" max="2" width="31.7109375" style="277" bestFit="1" customWidth="1"/>
    <col min="3" max="3" width="6.7109375" style="277" customWidth="1"/>
    <col min="4" max="4" width="7.42578125" style="277" bestFit="1" customWidth="1"/>
    <col min="5" max="5" width="9.140625" style="277" customWidth="1"/>
    <col min="6" max="6" width="6.7109375" style="277" bestFit="1" customWidth="1"/>
    <col min="7" max="7" width="6.7109375" style="277" customWidth="1"/>
    <col min="8" max="8" width="9.140625" style="277" customWidth="1"/>
    <col min="9" max="9" width="9.140625" style="277"/>
    <col min="10" max="10" width="9.140625" style="277" hidden="1" customWidth="1"/>
    <col min="11" max="12" width="4.7109375" style="277" customWidth="1"/>
    <col min="13" max="13" width="9.140625" style="277" hidden="1" customWidth="1"/>
    <col min="14" max="16384" width="9.140625" style="277"/>
  </cols>
  <sheetData>
    <row r="1" spans="1:13" x14ac:dyDescent="0.2">
      <c r="A1" s="31" t="str">
        <f>UPPER((Kalend!E11)&amp;" - "&amp;(Kalend!C11)&amp;" - "&amp;(Kalend!D11))</f>
        <v>2 - K-JÄRVE 17. KV 2. ETAPP - DUO</v>
      </c>
      <c r="E1" s="495" t="str">
        <f>HYPERLINK("#'Kalend'!I1","Kalender")</f>
        <v>Kalender</v>
      </c>
      <c r="G1" s="495" t="str">
        <f>HYPERLINK("#'Reit'!T1","Reiting")</f>
        <v>Reiting</v>
      </c>
      <c r="J1" s="169" t="s">
        <v>180</v>
      </c>
      <c r="M1" s="497"/>
    </row>
    <row r="2" spans="1:13" x14ac:dyDescent="0.2">
      <c r="A2" s="2" t="str">
        <f>"Toimumisaeg: "&amp;(Kalend!A11)&amp;" kell "&amp;(Kalend!B11)</f>
        <v>Toimumisaeg: N, 17.05.2018 kell 18:00</v>
      </c>
    </row>
    <row r="3" spans="1:13" x14ac:dyDescent="0.2">
      <c r="A3" s="2" t="str">
        <f>"Toimumiskoht: "&amp;(Kalend!F11)</f>
        <v>Toimumiskoht: K-Järve spordihoone</v>
      </c>
    </row>
    <row r="4" spans="1:13" x14ac:dyDescent="0.2">
      <c r="A4" s="2" t="str">
        <f>"Korraldaja: "&amp;(Kalend!G11)</f>
        <v>Korraldaja: K-Järve SHK, Ivar Viljaste</v>
      </c>
    </row>
    <row r="5" spans="1:13" x14ac:dyDescent="0.2">
      <c r="A5" s="55"/>
      <c r="B5" s="55"/>
      <c r="C5" s="55"/>
      <c r="D5" s="55"/>
      <c r="E5" s="55"/>
      <c r="F5" s="55"/>
      <c r="G5" s="55"/>
      <c r="H5" s="55"/>
    </row>
    <row r="6" spans="1:13" s="506" customFormat="1" x14ac:dyDescent="0.2">
      <c r="A6" s="580" t="s">
        <v>140</v>
      </c>
      <c r="B6" s="581"/>
      <c r="C6" s="501" t="s">
        <v>409</v>
      </c>
      <c r="D6" s="580" t="s">
        <v>410</v>
      </c>
      <c r="E6" s="580" t="s">
        <v>411</v>
      </c>
      <c r="F6" s="501" t="s">
        <v>412</v>
      </c>
      <c r="G6" s="501" t="s">
        <v>26</v>
      </c>
      <c r="H6" s="55"/>
    </row>
    <row r="7" spans="1:13" s="506" customFormat="1" x14ac:dyDescent="0.2">
      <c r="A7" s="580">
        <v>1</v>
      </c>
      <c r="B7" s="177" t="s">
        <v>480</v>
      </c>
      <c r="C7" s="582">
        <v>13</v>
      </c>
      <c r="D7" s="582">
        <v>13</v>
      </c>
      <c r="E7" s="510"/>
      <c r="F7" s="224"/>
      <c r="G7" s="510" t="str">
        <f>IF(AND(COUNT(F7:F10)=2,F7=MAX(F7:F10),COUNT(C7:F7)=3),A6&amp;"2",IF(AND(COUNT(E7:E10)=2,ISNUMBER(E7),E7=MIN(E7:E10),D7="",F7=""),A6&amp;"4",IF(AND(COUNT(D7:D10)=2,D7=MAX(D7:D10),E7="",F7=""),A6&amp;"1",IF(COUNT(F7:F10)=2,A6&amp;"3",""))))</f>
        <v>A1</v>
      </c>
    </row>
    <row r="8" spans="1:13" s="506" customFormat="1" x14ac:dyDescent="0.2">
      <c r="A8" s="580">
        <v>2</v>
      </c>
      <c r="B8" s="583" t="s">
        <v>38</v>
      </c>
      <c r="C8" s="584">
        <v>7</v>
      </c>
      <c r="D8" s="582"/>
      <c r="E8" s="510">
        <f>IF(AND(B10="-",ISNUMBER(C8),C8&lt;C9),13,"")</f>
        <v>13</v>
      </c>
      <c r="F8" s="224">
        <v>0</v>
      </c>
      <c r="G8" s="510" t="str">
        <f>IF(AND(COUNT(F7:F10)=2,F8=MAX(F7:F10),COUNT(C8:F8)=3),A6&amp;"2",IF(AND(COUNT(E7:E10)=2,ISNUMBER(E8),E8=MIN(E7:E10),D8="",F8=""),A6&amp;"4",IF(AND(COUNT(D7:D10)=2,D8=MAX(D7:D10),E8="",F8=""),A6&amp;"1",IF(COUNT(F7:F10)=2,A6&amp;"3",""))))</f>
        <v>A3</v>
      </c>
    </row>
    <row r="9" spans="1:13" s="506" customFormat="1" x14ac:dyDescent="0.2">
      <c r="A9" s="580">
        <v>3</v>
      </c>
      <c r="B9" s="583" t="s">
        <v>483</v>
      </c>
      <c r="C9" s="584">
        <v>13</v>
      </c>
      <c r="D9" s="510">
        <v>3</v>
      </c>
      <c r="E9" s="510"/>
      <c r="F9" s="224">
        <v>13</v>
      </c>
      <c r="G9" s="510" t="str">
        <f>IF(AND(COUNT(F7:F10)=2,F9=MAX(F7:F10),COUNT(C9:F9)=3),A6&amp;"2",IF(AND(COUNT(E7:E10)=2,ISNUMBER(E9),E9=MIN(E7:E10),D9="",F9=""),A6&amp;"4",IF(AND(COUNT(D7:D10)=2,D9=MAX(D7:D10),E9="",F9=""),A6&amp;"1",IF(COUNT(F7:F10)=2,A6&amp;"3",""))))</f>
        <v>A2</v>
      </c>
    </row>
    <row r="10" spans="1:13" s="506" customFormat="1" x14ac:dyDescent="0.2">
      <c r="A10" s="580">
        <v>4</v>
      </c>
      <c r="B10" s="585" t="s">
        <v>31</v>
      </c>
      <c r="C10" s="582">
        <f>IF(B10="-",0,"")</f>
        <v>0</v>
      </c>
      <c r="D10" s="582"/>
      <c r="E10" s="510">
        <f>IF(B10="-",0,"")</f>
        <v>0</v>
      </c>
      <c r="F10" s="224"/>
      <c r="G10" s="510" t="str">
        <f>IF(AND(COUNT(F7:F10)=2,F10=MAX(F7:F10),COUNT(C10:F10)=3),A6&amp;"2",IF(AND(COUNT(E7:E10)=2,ISNUMBER(E10),E10=MIN(E7:E10),D10="",F10=""),A6&amp;"4",IF(AND(COUNT(D7:D10)=2,D10=MAX(D7:D10),E10="",F10=""),A6&amp;"1",IF(COUNT(F7:F10)=2,A6&amp;"3",""))))</f>
        <v>A4</v>
      </c>
    </row>
    <row r="11" spans="1:13" s="506" customFormat="1" x14ac:dyDescent="0.2">
      <c r="A11" s="32"/>
      <c r="B11" s="586"/>
      <c r="C11" s="32"/>
      <c r="D11" s="32"/>
      <c r="E11" s="32"/>
      <c r="F11" s="32"/>
      <c r="G11" s="586" t="s">
        <v>31</v>
      </c>
    </row>
    <row r="12" spans="1:13" s="506" customFormat="1" x14ac:dyDescent="0.2">
      <c r="A12" s="580" t="s">
        <v>141</v>
      </c>
      <c r="B12" s="581"/>
      <c r="C12" s="501" t="s">
        <v>409</v>
      </c>
      <c r="D12" s="580" t="s">
        <v>410</v>
      </c>
      <c r="E12" s="580" t="s">
        <v>411</v>
      </c>
      <c r="F12" s="501" t="s">
        <v>412</v>
      </c>
      <c r="G12" s="501" t="s">
        <v>26</v>
      </c>
    </row>
    <row r="13" spans="1:13" s="498" customFormat="1" x14ac:dyDescent="0.2">
      <c r="A13" s="580">
        <v>1</v>
      </c>
      <c r="B13" s="177" t="s">
        <v>481</v>
      </c>
      <c r="C13" s="582">
        <v>13</v>
      </c>
      <c r="D13" s="582">
        <v>12</v>
      </c>
      <c r="E13" s="510"/>
      <c r="F13" s="224"/>
      <c r="G13" s="510" t="str">
        <f>IF(AND(COUNT(F13:F16)=2,F13=MAX(F13:F16),COUNT(C13:F13)=3),A12&amp;"2",IF(AND(COUNT(E13:E16)=2,ISNUMBER(E13),E13=MIN(E13:E16),D13="",F13=""),A12&amp;"4",IF(AND(COUNT(D13:D16)=2,D13=MAX(D13:D16),E13="",F13=""),A12&amp;"1",IF(COUNT(F13:F16)=2,A12&amp;"3",""))))</f>
        <v>B1</v>
      </c>
      <c r="H13" s="506"/>
      <c r="I13" s="506"/>
    </row>
    <row r="14" spans="1:13" s="498" customFormat="1" x14ac:dyDescent="0.2">
      <c r="A14" s="580">
        <v>2</v>
      </c>
      <c r="B14" s="583" t="s">
        <v>440</v>
      </c>
      <c r="C14" s="584">
        <v>13</v>
      </c>
      <c r="D14" s="582">
        <v>5</v>
      </c>
      <c r="E14" s="510"/>
      <c r="F14" s="224">
        <v>10</v>
      </c>
      <c r="G14" s="510" t="str">
        <f>IF(AND(COUNT(F13:F16)=2,F14=MAX(F13:F16),COUNT(C14:F14)=3),A12&amp;"2",IF(AND(COUNT(E13:E16)=2,ISNUMBER(E14),E14=MIN(E13:E16),D14="",F14=""),A12&amp;"4",IF(AND(COUNT(D13:D16)=2,D14=MAX(D13:D16),E14="",F14=""),A12&amp;"1",IF(COUNT(F13:F16)=2,A12&amp;"3",""))))</f>
        <v>B3</v>
      </c>
      <c r="H14" s="506"/>
      <c r="I14" s="506"/>
    </row>
    <row r="15" spans="1:13" s="498" customFormat="1" x14ac:dyDescent="0.2">
      <c r="A15" s="580">
        <v>3</v>
      </c>
      <c r="B15" s="583" t="s">
        <v>33</v>
      </c>
      <c r="C15" s="584">
        <v>2</v>
      </c>
      <c r="D15" s="510"/>
      <c r="E15" s="510">
        <v>13</v>
      </c>
      <c r="F15" s="224">
        <v>13</v>
      </c>
      <c r="G15" s="510" t="str">
        <f>IF(AND(COUNT(F13:F16)=2,F15=MAX(F13:F16),COUNT(C15:F15)=3),A12&amp;"2",IF(AND(COUNT(E13:E16)=2,ISNUMBER(E15),E15=MIN(E13:E16),D15="",F15=""),A12&amp;"4",IF(AND(COUNT(D13:D16)=2,D15=MAX(D13:D16),E15="",F15=""),A12&amp;"1",IF(COUNT(F13:F16)=2,A12&amp;"3",""))))</f>
        <v>B2</v>
      </c>
      <c r="H15" s="506"/>
      <c r="I15" s="506"/>
    </row>
    <row r="16" spans="1:13" s="498" customFormat="1" x14ac:dyDescent="0.2">
      <c r="A16" s="580">
        <v>4</v>
      </c>
      <c r="B16" s="585" t="s">
        <v>31</v>
      </c>
      <c r="C16" s="582">
        <f>IF(B16="-",0,"")</f>
        <v>0</v>
      </c>
      <c r="D16" s="582"/>
      <c r="E16" s="510">
        <f>IF(B22="-",0,"")</f>
        <v>0</v>
      </c>
      <c r="F16" s="224"/>
      <c r="G16" s="510" t="str">
        <f>IF(AND(COUNT(F13:F16)=2,F16=MAX(F13:F16),COUNT(C16:F16)=3),A12&amp;"2",IF(AND(COUNT(E13:E16)=2,ISNUMBER(E16),E16=MIN(E13:E16),D16="",F16=""),A12&amp;"4",IF(AND(COUNT(D13:D16)=2,D16=MAX(D13:D16),E16="",F16=""),A12&amp;"1",IF(COUNT(F13:F16)=2,A12&amp;"3",""))))</f>
        <v>B4</v>
      </c>
    </row>
    <row r="17" spans="1:8" s="498" customFormat="1" x14ac:dyDescent="0.2">
      <c r="A17" s="32"/>
      <c r="B17" s="32"/>
      <c r="C17" s="32"/>
      <c r="D17" s="32"/>
      <c r="E17" s="32"/>
      <c r="F17" s="32"/>
      <c r="G17" s="32"/>
    </row>
    <row r="18" spans="1:8" s="498" customFormat="1" x14ac:dyDescent="0.2">
      <c r="A18" s="580" t="s">
        <v>142</v>
      </c>
      <c r="B18" s="581"/>
      <c r="C18" s="501" t="s">
        <v>409</v>
      </c>
      <c r="D18" s="580" t="s">
        <v>410</v>
      </c>
      <c r="E18" s="580" t="s">
        <v>411</v>
      </c>
      <c r="F18" s="501" t="s">
        <v>412</v>
      </c>
      <c r="G18" s="501" t="s">
        <v>26</v>
      </c>
      <c r="H18" s="55"/>
    </row>
    <row r="19" spans="1:8" s="506" customFormat="1" x14ac:dyDescent="0.2">
      <c r="A19" s="580">
        <v>1</v>
      </c>
      <c r="B19" s="177" t="s">
        <v>479</v>
      </c>
      <c r="C19" s="582">
        <v>13</v>
      </c>
      <c r="D19" s="582">
        <v>0</v>
      </c>
      <c r="E19" s="510"/>
      <c r="F19" s="224">
        <v>13</v>
      </c>
      <c r="G19" s="510" t="str">
        <f>IF(AND(COUNT(F19:F22)=2,F19=MAX(F19:F22),COUNT(C19:F19)=3),A18&amp;"2",IF(AND(COUNT(E19:E22)=2,ISNUMBER(E19),E19=MIN(E19:E22),D19="",F19=""),A18&amp;"4",IF(AND(COUNT(D19:D22)=2,D19=MAX(D19:D22),E19="",F19=""),A18&amp;"1",IF(COUNT(F19:F22)=2,A18&amp;"3",""))))</f>
        <v>C2</v>
      </c>
      <c r="H19" s="55"/>
    </row>
    <row r="20" spans="1:8" s="498" customFormat="1" x14ac:dyDescent="0.2">
      <c r="A20" s="580">
        <v>2</v>
      </c>
      <c r="B20" s="583" t="s">
        <v>482</v>
      </c>
      <c r="C20" s="584">
        <v>6</v>
      </c>
      <c r="D20" s="582"/>
      <c r="E20" s="510">
        <v>13</v>
      </c>
      <c r="F20" s="224">
        <v>0</v>
      </c>
      <c r="G20" s="510" t="str">
        <f>IF(AND(COUNT(F19:F22)=2,F20=MAX(F19:F22),COUNT(C20:F20)=3),A18&amp;"2",IF(AND(COUNT(E19:E22)=2,ISNUMBER(E20),E20=MIN(E19:E22),D20="",F20=""),A18&amp;"4",IF(AND(COUNT(D19:D22)=2,D20=MAX(D19:D22),E20="",F20=""),A18&amp;"1",IF(COUNT(F19:F22)=2,A18&amp;"3",""))))</f>
        <v>C3</v>
      </c>
      <c r="H20" s="55"/>
    </row>
    <row r="21" spans="1:8" s="498" customFormat="1" x14ac:dyDescent="0.2">
      <c r="A21" s="580">
        <v>3</v>
      </c>
      <c r="B21" s="583" t="s">
        <v>478</v>
      </c>
      <c r="C21" s="584">
        <v>13</v>
      </c>
      <c r="D21" s="510">
        <v>13</v>
      </c>
      <c r="E21" s="510"/>
      <c r="F21" s="224"/>
      <c r="G21" s="510" t="str">
        <f>IF(AND(COUNT(F19:F22)=2,F21=MAX(F19:F22),COUNT(C21:F21)=3),A18&amp;"2",IF(AND(COUNT(E19:E22)=2,ISNUMBER(E21),E21=MIN(E19:E22),D21="",F21=""),A18&amp;"4",IF(AND(COUNT(D19:D22)=2,D21=MAX(D19:D22),E21="",F21=""),A18&amp;"1",IF(COUNT(F19:F22)=2,A18&amp;"3",""))))</f>
        <v>C1</v>
      </c>
      <c r="H21" s="55"/>
    </row>
    <row r="22" spans="1:8" s="498" customFormat="1" x14ac:dyDescent="0.2">
      <c r="A22" s="580">
        <v>4</v>
      </c>
      <c r="B22" s="585" t="s">
        <v>31</v>
      </c>
      <c r="C22" s="582">
        <f>IF(B22="-",0,"")</f>
        <v>0</v>
      </c>
      <c r="D22" s="582"/>
      <c r="E22" s="510">
        <f>IF(B22="-",0,"")</f>
        <v>0</v>
      </c>
      <c r="F22" s="224"/>
      <c r="G22" s="510" t="str">
        <f>IF(AND(COUNT(F19:F22)=2,F22=MAX(F19:F22),COUNT(C22:F22)=3),A18&amp;"2",IF(AND(COUNT(E19:E22)=2,ISNUMBER(E22),E22=MIN(E19:E22),D22="",F22=""),A18&amp;"4",IF(AND(COUNT(D19:D22)=2,D22=MAX(D19:D22),E22="",F22=""),A18&amp;"1",IF(COUNT(F19:F22)=2,A18&amp;"3",""))))</f>
        <v>C4</v>
      </c>
      <c r="H22" s="55"/>
    </row>
    <row r="23" spans="1:8" s="498" customFormat="1" hidden="1" x14ac:dyDescent="0.2">
      <c r="A23" s="32"/>
      <c r="B23" s="32"/>
      <c r="C23" s="32"/>
      <c r="D23" s="32"/>
      <c r="E23" s="32"/>
      <c r="F23" s="32"/>
      <c r="G23" s="32"/>
      <c r="H23" s="55"/>
    </row>
    <row r="24" spans="1:8" s="498" customFormat="1" hidden="1" x14ac:dyDescent="0.2">
      <c r="A24" s="580" t="s">
        <v>143</v>
      </c>
      <c r="B24" s="581"/>
      <c r="C24" s="501" t="s">
        <v>409</v>
      </c>
      <c r="D24" s="580" t="s">
        <v>410</v>
      </c>
      <c r="E24" s="580" t="s">
        <v>411</v>
      </c>
      <c r="F24" s="501" t="s">
        <v>412</v>
      </c>
      <c r="G24" s="501" t="s">
        <v>26</v>
      </c>
      <c r="H24" s="55"/>
    </row>
    <row r="25" spans="1:8" s="498" customFormat="1" hidden="1" x14ac:dyDescent="0.2">
      <c r="A25" s="580">
        <v>1</v>
      </c>
      <c r="B25" s="177"/>
      <c r="C25" s="582" t="str">
        <f>IF(B28="-",13,"")</f>
        <v/>
      </c>
      <c r="D25" s="582"/>
      <c r="E25" s="510"/>
      <c r="F25" s="224"/>
      <c r="G25" s="510" t="str">
        <f>IF(AND(COUNT(F25:F28)=2,F25=MAX(F25:F28),COUNT(C25:F25)=3),A24&amp;"2",IF(AND(COUNT(E25:E28)=2,ISNUMBER(E25),E25=MIN(E25:E28),D25="",F25=""),A24&amp;"4",IF(AND(COUNT(D25:D28)=2,D25=MAX(D25:D28),E25="",F25=""),A24&amp;"1",IF(COUNT(F25:F28)=2,A24&amp;"3",""))))</f>
        <v/>
      </c>
      <c r="H25" s="55"/>
    </row>
    <row r="26" spans="1:8" s="498" customFormat="1" hidden="1" x14ac:dyDescent="0.2">
      <c r="A26" s="580">
        <v>2</v>
      </c>
      <c r="B26" s="583"/>
      <c r="C26" s="584"/>
      <c r="D26" s="582"/>
      <c r="E26" s="510" t="str">
        <f>IF(AND(B28="-",ISNUMBER(C26),C26&lt;C27),13,"")</f>
        <v/>
      </c>
      <c r="F26" s="224"/>
      <c r="G26" s="510" t="str">
        <f>IF(AND(COUNT(F25:F28)=2,F26=MAX(F25:F28),COUNT(C26:F26)=3),A24&amp;"2",IF(AND(COUNT(E25:E28)=2,ISNUMBER(E26),E26=MIN(E25:E28),D26="",F26=""),A24&amp;"4",IF(AND(COUNT(D25:D28)=2,D26=MAX(D25:D28),E26="",F26=""),A24&amp;"1",IF(COUNT(F25:F28)=2,A24&amp;"3",""))))</f>
        <v/>
      </c>
      <c r="H26" s="55"/>
    </row>
    <row r="27" spans="1:8" s="506" customFormat="1" hidden="1" x14ac:dyDescent="0.2">
      <c r="A27" s="580">
        <v>3</v>
      </c>
      <c r="B27" s="583"/>
      <c r="C27" s="584"/>
      <c r="D27" s="510"/>
      <c r="E27" s="510" t="str">
        <f>IF(AND(B28="-",ISNUMBER(C27),C27&lt;C26),13,"")</f>
        <v/>
      </c>
      <c r="F27" s="224"/>
      <c r="G27" s="510" t="str">
        <f>IF(AND(COUNT(F25:F28)=2,F27=MAX(F25:F28),COUNT(C27:F27)=3),A24&amp;"2",IF(AND(COUNT(E25:E28)=2,ISNUMBER(E27),E27=MIN(E25:E28),D27="",F27=""),A24&amp;"4",IF(AND(COUNT(D25:D28)=2,D27=MAX(D25:D28),E27="",F27=""),A24&amp;"1",IF(COUNT(F25:F28)=2,A24&amp;"3",""))))</f>
        <v/>
      </c>
      <c r="H27" s="55"/>
    </row>
    <row r="28" spans="1:8" s="506" customFormat="1" hidden="1" x14ac:dyDescent="0.2">
      <c r="A28" s="580">
        <v>4</v>
      </c>
      <c r="B28" s="585"/>
      <c r="C28" s="582" t="str">
        <f>IF(B28="-",0,"")</f>
        <v/>
      </c>
      <c r="D28" s="582"/>
      <c r="E28" s="510" t="str">
        <f>IF(B28="-",0,"")</f>
        <v/>
      </c>
      <c r="F28" s="224"/>
      <c r="G28" s="510" t="str">
        <f>IF(AND(COUNT(F25:F28)=2,F28=MAX(F25:F28),COUNT(C28:F28)=3),A24&amp;"2",IF(AND(COUNT(E25:E28)=2,ISNUMBER(E28),E28=MIN(E25:E28),D28="",F28=""),A24&amp;"4",IF(AND(COUNT(D25:D28)=2,D28=MAX(D25:D28),E28="",F28=""),A24&amp;"1",IF(COUNT(F25:F28)=2,A24&amp;"3",""))))</f>
        <v/>
      </c>
      <c r="H28" s="55"/>
    </row>
    <row r="29" spans="1:8" s="506" customFormat="1" hidden="1" x14ac:dyDescent="0.2">
      <c r="A29" s="55"/>
      <c r="B29" s="55"/>
      <c r="C29" s="55"/>
      <c r="D29" s="55"/>
      <c r="E29" s="55"/>
      <c r="F29" s="55"/>
      <c r="G29" s="55"/>
      <c r="H29" s="55"/>
    </row>
    <row r="30" spans="1:8" s="506" customFormat="1" hidden="1" x14ac:dyDescent="0.2"/>
    <row r="31" spans="1:8" s="506" customFormat="1" hidden="1" x14ac:dyDescent="0.2"/>
    <row r="32" spans="1:8" s="506" customFormat="1" hidden="1" x14ac:dyDescent="0.2"/>
    <row r="33" s="506" customFormat="1" hidden="1" x14ac:dyDescent="0.2"/>
    <row r="34" s="506" customFormat="1" hidden="1" x14ac:dyDescent="0.2"/>
    <row r="35" s="506" customFormat="1" hidden="1" x14ac:dyDescent="0.2"/>
    <row r="36" s="506" customFormat="1" hidden="1" x14ac:dyDescent="0.2"/>
    <row r="37" s="506" customFormat="1" hidden="1" x14ac:dyDescent="0.2"/>
    <row r="38" s="506" customFormat="1" hidden="1" x14ac:dyDescent="0.2"/>
    <row r="39" s="506" customFormat="1" hidden="1" x14ac:dyDescent="0.2"/>
    <row r="40" s="506" customFormat="1" hidden="1" x14ac:dyDescent="0.2"/>
    <row r="41" s="498" customFormat="1" hidden="1" x14ac:dyDescent="0.2"/>
    <row r="42" s="498" customFormat="1" hidden="1" x14ac:dyDescent="0.2"/>
    <row r="43" s="498" customFormat="1" hidden="1" x14ac:dyDescent="0.2"/>
    <row r="44" s="498" customFormat="1" hidden="1" x14ac:dyDescent="0.2"/>
    <row r="45" s="498" customFormat="1" hidden="1" x14ac:dyDescent="0.2"/>
    <row r="46" s="498" customFormat="1" hidden="1" x14ac:dyDescent="0.2"/>
    <row r="47" s="506" customFormat="1" hidden="1" x14ac:dyDescent="0.2"/>
    <row r="48" s="498" customFormat="1" hidden="1" x14ac:dyDescent="0.2"/>
    <row r="49" s="498" customFormat="1" hidden="1" x14ac:dyDescent="0.2"/>
    <row r="50" s="498" customFormat="1" hidden="1" x14ac:dyDescent="0.2"/>
    <row r="51" s="498" customFormat="1" hidden="1" x14ac:dyDescent="0.2"/>
    <row r="52" s="498" customFormat="1" hidden="1" x14ac:dyDescent="0.2"/>
    <row r="53" s="498" customFormat="1" hidden="1" x14ac:dyDescent="0.2"/>
    <row r="54" s="498" customFormat="1" hidden="1" x14ac:dyDescent="0.2"/>
    <row r="55" s="506" customFormat="1" hidden="1" x14ac:dyDescent="0.2"/>
    <row r="56" s="506" customFormat="1" hidden="1" x14ac:dyDescent="0.2"/>
    <row r="57" s="506" customFormat="1" hidden="1" x14ac:dyDescent="0.2"/>
    <row r="58" s="506" customFormat="1" hidden="1" x14ac:dyDescent="0.2"/>
    <row r="59" s="506" customFormat="1" hidden="1" x14ac:dyDescent="0.2"/>
    <row r="60" s="506" customFormat="1" hidden="1" x14ac:dyDescent="0.2"/>
    <row r="61" s="55" customFormat="1" hidden="1" x14ac:dyDescent="0.2"/>
    <row r="62" s="55" customFormat="1" hidden="1" x14ac:dyDescent="0.2"/>
    <row r="63" s="55" customFormat="1" hidden="1" x14ac:dyDescent="0.2"/>
    <row r="64" s="55" customFormat="1" hidden="1" x14ac:dyDescent="0.2"/>
    <row r="65" s="55" customFormat="1" hidden="1" x14ac:dyDescent="0.2"/>
    <row r="66" s="55" customFormat="1" hidden="1" x14ac:dyDescent="0.2"/>
    <row r="67" s="55" customFormat="1" hidden="1" x14ac:dyDescent="0.2"/>
    <row r="68" s="55" customFormat="1" hidden="1" x14ac:dyDescent="0.2"/>
    <row r="69" s="55" customFormat="1" hidden="1" x14ac:dyDescent="0.2"/>
    <row r="70" s="55" customFormat="1" hidden="1" x14ac:dyDescent="0.2"/>
    <row r="71" s="55" customFormat="1" hidden="1" x14ac:dyDescent="0.2"/>
    <row r="72" s="55" customFormat="1" hidden="1" x14ac:dyDescent="0.2"/>
    <row r="73" s="55" customFormat="1" hidden="1" x14ac:dyDescent="0.2"/>
    <row r="74" s="55" customFormat="1" hidden="1" x14ac:dyDescent="0.2"/>
    <row r="75" s="55" customFormat="1" hidden="1" x14ac:dyDescent="0.2"/>
    <row r="76" s="55" customFormat="1" hidden="1" x14ac:dyDescent="0.2"/>
    <row r="77" s="55" customFormat="1" hidden="1" x14ac:dyDescent="0.2"/>
    <row r="78" s="55" customFormat="1" hidden="1" x14ac:dyDescent="0.2"/>
    <row r="79" s="55" customFormat="1" hidden="1" x14ac:dyDescent="0.2"/>
    <row r="80" s="55" customFormat="1" hidden="1" x14ac:dyDescent="0.2"/>
    <row r="81" spans="1:9" s="55" customFormat="1" hidden="1" x14ac:dyDescent="0.2"/>
    <row r="82" spans="1:9" s="55" customFormat="1" hidden="1" x14ac:dyDescent="0.2"/>
    <row r="83" spans="1:9" s="55" customFormat="1" hidden="1" x14ac:dyDescent="0.2"/>
    <row r="84" spans="1:9" s="55" customFormat="1" hidden="1" x14ac:dyDescent="0.2"/>
    <row r="85" spans="1:9" s="55" customFormat="1" hidden="1" x14ac:dyDescent="0.2"/>
    <row r="86" spans="1:9" s="55" customFormat="1" hidden="1" x14ac:dyDescent="0.2"/>
    <row r="87" spans="1:9" s="55" customFormat="1" hidden="1" x14ac:dyDescent="0.2"/>
    <row r="88" spans="1:9" s="55" customFormat="1" hidden="1" x14ac:dyDescent="0.2"/>
    <row r="89" spans="1:9" s="55" customFormat="1" hidden="1" x14ac:dyDescent="0.2"/>
    <row r="90" spans="1:9" s="55" customFormat="1" hidden="1" x14ac:dyDescent="0.2"/>
    <row r="91" spans="1:9" s="55" customFormat="1" hidden="1" x14ac:dyDescent="0.2"/>
    <row r="92" spans="1:9" s="55" customFormat="1" hidden="1" x14ac:dyDescent="0.2">
      <c r="A92" s="32"/>
      <c r="B92" s="32"/>
      <c r="C92" s="32"/>
      <c r="D92" s="32"/>
      <c r="E92" s="32"/>
      <c r="F92" s="32"/>
      <c r="G92" s="32"/>
      <c r="H92" s="32"/>
      <c r="I92" s="32"/>
    </row>
    <row r="93" spans="1:9" s="55" customFormat="1" hidden="1" x14ac:dyDescent="0.2">
      <c r="A93" s="32"/>
      <c r="B93" s="32"/>
      <c r="C93" s="32"/>
      <c r="D93" s="32"/>
      <c r="E93" s="32"/>
      <c r="F93" s="32"/>
      <c r="G93" s="32"/>
      <c r="H93" s="32"/>
      <c r="I93" s="32"/>
    </row>
    <row r="94" spans="1:9" s="55" customFormat="1" hidden="1" x14ac:dyDescent="0.2"/>
    <row r="95" spans="1:9" s="552" customFormat="1" hidden="1" x14ac:dyDescent="0.2"/>
    <row r="96" spans="1:9" hidden="1" x14ac:dyDescent="0.2">
      <c r="A96" s="32"/>
      <c r="B96" s="32"/>
      <c r="C96" s="32"/>
      <c r="D96" s="32"/>
      <c r="E96" s="32"/>
      <c r="F96" s="32"/>
      <c r="G96" s="32"/>
      <c r="H96" s="32"/>
      <c r="I96" s="32"/>
    </row>
    <row r="97" spans="1:14" hidden="1" x14ac:dyDescent="0.2">
      <c r="A97" s="32"/>
      <c r="B97" s="32"/>
      <c r="C97" s="32"/>
      <c r="D97" s="32"/>
      <c r="E97" s="32"/>
      <c r="F97" s="32"/>
      <c r="G97" s="32"/>
      <c r="H97" s="32"/>
      <c r="I97" s="32"/>
    </row>
    <row r="98" spans="1:14" hidden="1" x14ac:dyDescent="0.2">
      <c r="A98" s="32"/>
      <c r="B98" s="32"/>
      <c r="C98" s="32"/>
      <c r="D98" s="32"/>
      <c r="E98" s="32"/>
      <c r="F98" s="32"/>
      <c r="G98" s="32"/>
      <c r="H98" s="32"/>
      <c r="I98" s="32"/>
    </row>
    <row r="99" spans="1:14" x14ac:dyDescent="0.2">
      <c r="A99" s="32"/>
      <c r="B99" s="32"/>
      <c r="C99" s="32"/>
      <c r="D99" s="32"/>
      <c r="E99" s="32"/>
      <c r="F99" s="32"/>
      <c r="G99" s="32"/>
      <c r="H99" s="32"/>
      <c r="I99" s="32"/>
    </row>
    <row r="100" spans="1:14" x14ac:dyDescent="0.2">
      <c r="A100" s="553" t="s">
        <v>427</v>
      </c>
      <c r="B100" s="554"/>
      <c r="C100" s="55"/>
      <c r="D100" s="525"/>
      <c r="E100" s="525"/>
      <c r="F100" s="527"/>
      <c r="G100" s="550"/>
      <c r="H100" s="55"/>
      <c r="I100" s="55"/>
      <c r="J100" s="506"/>
      <c r="K100" s="506"/>
      <c r="L100" s="506"/>
      <c r="M100" s="506"/>
      <c r="N100" s="506"/>
    </row>
    <row r="101" spans="1:14" x14ac:dyDescent="0.2">
      <c r="A101" s="55"/>
      <c r="B101" s="55"/>
      <c r="C101" s="55"/>
      <c r="D101" s="55"/>
      <c r="E101" s="55"/>
      <c r="F101" s="55"/>
      <c r="G101" s="55"/>
      <c r="H101" s="55"/>
      <c r="I101" s="55"/>
      <c r="J101" s="506"/>
      <c r="K101" s="506"/>
      <c r="L101" s="506"/>
      <c r="M101" s="506"/>
      <c r="N101" s="506"/>
    </row>
    <row r="102" spans="1:14" x14ac:dyDescent="0.2">
      <c r="A102" s="555" t="s">
        <v>378</v>
      </c>
      <c r="B102" s="556" t="str">
        <f>IFERROR(INDEX(B$7:B$28,MATCH(A102,G$7:G$28,0)),"")</f>
        <v>Ivar Viljaste, Kristo Viljaste</v>
      </c>
      <c r="C102" s="557">
        <f>IF(B102="-",0,IF(B104="-",13,""))</f>
        <v>13</v>
      </c>
      <c r="D102" s="55"/>
      <c r="E102" s="55"/>
      <c r="F102" s="55"/>
      <c r="G102" s="55"/>
      <c r="H102" s="55"/>
      <c r="I102" s="55"/>
      <c r="J102" s="506"/>
      <c r="K102" s="506"/>
      <c r="L102" s="506"/>
      <c r="M102" s="506"/>
      <c r="N102" s="506"/>
    </row>
    <row r="103" spans="1:14" x14ac:dyDescent="0.2">
      <c r="A103" s="558"/>
      <c r="B103" s="559"/>
      <c r="C103" s="560" t="str">
        <f>IF(COUNT(C102,C104)=2,IF(C102&gt;C104,B102,B104),"")</f>
        <v>Ivar Viljaste, Kristo Viljaste</v>
      </c>
      <c r="D103" s="55"/>
      <c r="E103" s="557">
        <v>13</v>
      </c>
      <c r="F103" s="55"/>
      <c r="G103" s="55"/>
      <c r="H103" s="55"/>
      <c r="I103" s="55"/>
      <c r="J103" s="506"/>
      <c r="K103" s="506"/>
      <c r="L103" s="506"/>
      <c r="M103" s="506"/>
      <c r="N103" s="506"/>
    </row>
    <row r="104" spans="1:14" x14ac:dyDescent="0.2">
      <c r="A104" s="558" t="s">
        <v>31</v>
      </c>
      <c r="B104" s="561" t="s">
        <v>31</v>
      </c>
      <c r="C104" s="562">
        <f>IF(B104="-",0,IF(B102="-",13,""))</f>
        <v>0</v>
      </c>
      <c r="D104" s="563"/>
      <c r="E104" s="55"/>
      <c r="F104" s="55"/>
      <c r="G104" s="55"/>
      <c r="H104" s="55"/>
      <c r="I104" s="55"/>
      <c r="J104" s="506"/>
      <c r="K104" s="506"/>
      <c r="L104" s="506"/>
      <c r="M104" s="506"/>
      <c r="N104" s="506"/>
    </row>
    <row r="105" spans="1:14" x14ac:dyDescent="0.2">
      <c r="A105" s="558"/>
      <c r="B105" s="539"/>
      <c r="C105" s="55"/>
      <c r="D105" s="564"/>
      <c r="E105" s="560" t="str">
        <f>IF(COUNT(E103,E107)=2,IF(E103&gt;E107,C103,C107),"")</f>
        <v>Ivar Viljaste, Kristo Viljaste</v>
      </c>
      <c r="F105" s="55"/>
      <c r="G105" s="557">
        <v>13</v>
      </c>
      <c r="H105" s="55"/>
      <c r="I105" s="55"/>
      <c r="J105" s="506"/>
      <c r="K105" s="506"/>
      <c r="L105" s="506"/>
      <c r="M105" s="506"/>
      <c r="N105" s="506"/>
    </row>
    <row r="106" spans="1:14" x14ac:dyDescent="0.2">
      <c r="A106" s="558" t="s">
        <v>384</v>
      </c>
      <c r="B106" s="556" t="str">
        <f>IFERROR(INDEX(B$7:B$28,MATCH(A106,G$7:G$28,0)),"")</f>
        <v>Elmo Lageda, Tõnu Piik</v>
      </c>
      <c r="C106" s="557">
        <v>13</v>
      </c>
      <c r="D106" s="564"/>
      <c r="E106" s="565"/>
      <c r="F106" s="563"/>
      <c r="G106" s="55"/>
      <c r="H106" s="55"/>
      <c r="I106" s="55"/>
      <c r="J106" s="506"/>
      <c r="K106" s="506"/>
      <c r="L106" s="506"/>
      <c r="M106" s="506"/>
      <c r="N106" s="506"/>
    </row>
    <row r="107" spans="1:14" x14ac:dyDescent="0.2">
      <c r="A107" s="558"/>
      <c r="B107" s="559"/>
      <c r="C107" s="560" t="str">
        <f>IF(COUNT(C106,C108)=2,IF(C106&gt;C108,B106,B108),"")</f>
        <v>Elmo Lageda, Tõnu Piik</v>
      </c>
      <c r="D107" s="566"/>
      <c r="E107" s="562">
        <v>1</v>
      </c>
      <c r="F107" s="564"/>
      <c r="G107" s="55"/>
      <c r="H107" s="55"/>
      <c r="I107" s="55"/>
      <c r="J107" s="506"/>
      <c r="K107" s="506"/>
      <c r="L107" s="506"/>
      <c r="M107" s="506"/>
      <c r="N107" s="506"/>
    </row>
    <row r="108" spans="1:14" x14ac:dyDescent="0.2">
      <c r="A108" s="558" t="s">
        <v>381</v>
      </c>
      <c r="B108" s="561" t="str">
        <f>IFERROR(INDEX(B$7:B$28,MATCH(A108,G$7:G$28,0)),"")</f>
        <v>Argo Sepp, Emil Murzajev</v>
      </c>
      <c r="C108" s="562">
        <v>8</v>
      </c>
      <c r="D108" s="55"/>
      <c r="E108" s="554"/>
      <c r="F108" s="564"/>
      <c r="G108" s="55"/>
      <c r="H108" s="55"/>
      <c r="I108" s="55"/>
      <c r="J108" s="506"/>
      <c r="K108" s="506"/>
      <c r="L108" s="506"/>
      <c r="M108" s="506"/>
      <c r="N108" s="506"/>
    </row>
    <row r="109" spans="1:14" ht="13.5" thickBot="1" x14ac:dyDescent="0.25">
      <c r="A109" s="538"/>
      <c r="B109" s="539"/>
      <c r="C109" s="55"/>
      <c r="D109" s="55"/>
      <c r="E109" s="554"/>
      <c r="F109" s="564"/>
      <c r="G109" s="55"/>
      <c r="H109" s="567" t="str">
        <f>IF(COUNT(G105,G113)=2,IF(G105&gt;G113,E105,E113),"")</f>
        <v>Ivar Viljaste, Kristo Viljaste</v>
      </c>
      <c r="I109" s="55"/>
      <c r="J109" s="506"/>
      <c r="K109" s="506"/>
      <c r="L109" s="506"/>
      <c r="M109" s="506"/>
      <c r="N109" s="506"/>
    </row>
    <row r="110" spans="1:14" x14ac:dyDescent="0.2">
      <c r="A110" s="555" t="s">
        <v>382</v>
      </c>
      <c r="B110" s="556" t="str">
        <f>IFERROR(INDEX(B$7:B$28,MATCH(A110,G$7:G$28,0)),"")</f>
        <v>Kenneth Muusikus, Oleg Rõndenkov</v>
      </c>
      <c r="C110" s="557">
        <f>IF(B110="-",0,IF(B112="-",13,""))</f>
        <v>13</v>
      </c>
      <c r="D110" s="55"/>
      <c r="E110" s="55"/>
      <c r="F110" s="564"/>
      <c r="G110" s="568"/>
      <c r="H110" s="569" t="s">
        <v>383</v>
      </c>
      <c r="I110" s="570"/>
      <c r="J110" s="506"/>
      <c r="K110" s="506"/>
      <c r="L110" s="506"/>
      <c r="M110" s="506"/>
      <c r="N110" s="506"/>
    </row>
    <row r="111" spans="1:14" x14ac:dyDescent="0.2">
      <c r="A111" s="558"/>
      <c r="B111" s="559"/>
      <c r="C111" s="560" t="str">
        <f>IF(COUNT(C110,C112)=2,IF(C110&gt;C112,B110,B112),"")</f>
        <v>Kenneth Muusikus, Oleg Rõndenkov</v>
      </c>
      <c r="D111" s="55"/>
      <c r="E111" s="557">
        <v>9</v>
      </c>
      <c r="F111" s="564"/>
      <c r="G111" s="554"/>
      <c r="H111" s="55"/>
      <c r="I111" s="55"/>
      <c r="J111" s="498"/>
      <c r="K111" s="498"/>
      <c r="L111" s="498"/>
      <c r="M111" s="498"/>
      <c r="N111" s="498"/>
    </row>
    <row r="112" spans="1:14" x14ac:dyDescent="0.2">
      <c r="A112" s="558" t="s">
        <v>31</v>
      </c>
      <c r="B112" s="561" t="s">
        <v>31</v>
      </c>
      <c r="C112" s="562">
        <f>IF(B112="-",0,IF(B110="-",13,""))</f>
        <v>0</v>
      </c>
      <c r="D112" s="563"/>
      <c r="E112" s="55"/>
      <c r="F112" s="564"/>
      <c r="G112" s="554"/>
      <c r="H112" s="55"/>
      <c r="I112" s="55"/>
      <c r="J112" s="498"/>
      <c r="K112" s="498"/>
      <c r="L112" s="498"/>
      <c r="M112" s="498"/>
      <c r="N112" s="498"/>
    </row>
    <row r="113" spans="1:14" x14ac:dyDescent="0.2">
      <c r="A113" s="558"/>
      <c r="B113" s="539"/>
      <c r="C113" s="55"/>
      <c r="D113" s="564"/>
      <c r="E113" s="560" t="str">
        <f>IF(COUNT(E111,E115)=2,IF(E111&gt;E115,C111,C115),"")</f>
        <v>Mait Metsla, Matti Vinni</v>
      </c>
      <c r="F113" s="566"/>
      <c r="G113" s="562">
        <v>12</v>
      </c>
      <c r="H113" s="55"/>
      <c r="I113" s="55"/>
      <c r="J113" s="498"/>
      <c r="K113" s="498"/>
      <c r="L113" s="498"/>
      <c r="M113" s="498"/>
      <c r="N113" s="498"/>
    </row>
    <row r="114" spans="1:14" ht="13.5" thickBot="1" x14ac:dyDescent="0.25">
      <c r="A114" s="558" t="s">
        <v>380</v>
      </c>
      <c r="B114" s="556" t="str">
        <f>IFERROR(INDEX(B$7:B$28,MATCH(A114,G$7:G$28,0)),"")</f>
        <v>Mait Metsla, Matti Vinni</v>
      </c>
      <c r="C114" s="557">
        <v>13</v>
      </c>
      <c r="D114" s="564"/>
      <c r="E114" s="565"/>
      <c r="F114" s="554"/>
      <c r="G114" s="554"/>
      <c r="H114" s="567" t="str">
        <f>IF(COUNT(G105,G113)=2,IF(G105&lt;G113,E105,E113),"")</f>
        <v>Mait Metsla, Matti Vinni</v>
      </c>
      <c r="I114" s="571"/>
      <c r="J114" s="498"/>
      <c r="K114" s="498"/>
      <c r="L114" s="498"/>
      <c r="M114" s="498"/>
      <c r="N114" s="498"/>
    </row>
    <row r="115" spans="1:14" x14ac:dyDescent="0.2">
      <c r="A115" s="558"/>
      <c r="B115" s="559"/>
      <c r="C115" s="560" t="str">
        <f>IF(COUNT(C114,C116)=2,IF(C114&gt;C116,B114,B116),"")</f>
        <v>Mait Metsla, Matti Vinni</v>
      </c>
      <c r="D115" s="566"/>
      <c r="E115" s="562">
        <v>13</v>
      </c>
      <c r="F115" s="55"/>
      <c r="G115" s="554"/>
      <c r="H115" s="569" t="s">
        <v>386</v>
      </c>
      <c r="I115" s="554"/>
      <c r="J115" s="498"/>
      <c r="K115" s="498"/>
      <c r="L115" s="498"/>
      <c r="M115" s="498"/>
      <c r="N115" s="498"/>
    </row>
    <row r="116" spans="1:14" x14ac:dyDescent="0.2">
      <c r="A116" s="558" t="s">
        <v>385</v>
      </c>
      <c r="B116" s="561" t="str">
        <f>IFERROR(INDEX(B$7:B$28,MATCH(A116,G$7:G$28,0)),"")</f>
        <v>Aarne Välja, Janek Tarto</v>
      </c>
      <c r="C116" s="562">
        <v>9</v>
      </c>
      <c r="D116" s="55"/>
      <c r="E116" s="554"/>
      <c r="F116" s="554"/>
      <c r="G116" s="554"/>
      <c r="H116" s="55"/>
      <c r="I116" s="55"/>
      <c r="J116" s="498"/>
      <c r="K116" s="498"/>
      <c r="L116" s="498"/>
      <c r="M116" s="498"/>
      <c r="N116" s="498"/>
    </row>
    <row r="117" spans="1:14" x14ac:dyDescent="0.2">
      <c r="A117" s="538"/>
      <c r="B117" s="539"/>
      <c r="C117" s="55"/>
      <c r="D117" s="55"/>
      <c r="E117" s="551" t="str">
        <f>IF(COUNT(E103,E107)=2,IF(E103&lt;E107,C103,C107),"")</f>
        <v>Elmo Lageda, Tõnu Piik</v>
      </c>
      <c r="F117" s="55"/>
      <c r="G117" s="638">
        <v>0</v>
      </c>
      <c r="H117" s="55"/>
      <c r="I117" s="55"/>
      <c r="J117" s="506"/>
      <c r="K117" s="506"/>
      <c r="L117" s="506"/>
      <c r="M117" s="506"/>
      <c r="N117" s="506"/>
    </row>
    <row r="118" spans="1:14" ht="13.5" thickBot="1" x14ac:dyDescent="0.25">
      <c r="A118" s="55"/>
      <c r="B118" s="55"/>
      <c r="C118" s="55"/>
      <c r="D118" s="55"/>
      <c r="E118" s="587"/>
      <c r="F118" s="563"/>
      <c r="G118" s="571"/>
      <c r="H118" s="567" t="str">
        <f>IF(COUNT(G117,G119)=2,IF(G117&gt;G119,E117,E119),"")</f>
        <v>Kenneth Muusikus, Oleg Rõndenkov</v>
      </c>
      <c r="I118" s="571"/>
      <c r="J118" s="498"/>
      <c r="K118" s="498"/>
      <c r="L118" s="498"/>
      <c r="M118" s="498"/>
      <c r="N118" s="498"/>
    </row>
    <row r="119" spans="1:14" x14ac:dyDescent="0.2">
      <c r="A119" s="55"/>
      <c r="B119" s="55"/>
      <c r="C119" s="55"/>
      <c r="D119" s="55"/>
      <c r="E119" s="572" t="str">
        <f>IF(COUNT(E111,E115)=2,IF(E111&lt;E115,C111,C115),"")</f>
        <v>Kenneth Muusikus, Oleg Rõndenkov</v>
      </c>
      <c r="F119" s="566"/>
      <c r="G119" s="562">
        <v>13</v>
      </c>
      <c r="H119" s="523" t="s">
        <v>388</v>
      </c>
      <c r="I119" s="554"/>
      <c r="J119" s="498"/>
      <c r="K119" s="498"/>
      <c r="L119" s="498"/>
      <c r="M119" s="498"/>
      <c r="N119" s="498"/>
    </row>
    <row r="120" spans="1:14" x14ac:dyDescent="0.2">
      <c r="A120" s="55"/>
      <c r="B120" s="55"/>
      <c r="C120" s="55"/>
      <c r="D120" s="55"/>
      <c r="E120" s="55"/>
      <c r="F120" s="55"/>
      <c r="G120" s="55"/>
      <c r="H120" s="554"/>
      <c r="I120" s="554"/>
      <c r="J120" s="498"/>
      <c r="K120" s="498"/>
      <c r="L120" s="498"/>
      <c r="M120" s="498"/>
      <c r="N120" s="498"/>
    </row>
    <row r="121" spans="1:14" ht="13.5" thickBot="1" x14ac:dyDescent="0.25">
      <c r="A121" s="55"/>
      <c r="B121" s="55"/>
      <c r="C121" s="55"/>
      <c r="D121" s="55"/>
      <c r="E121" s="554"/>
      <c r="F121" s="554"/>
      <c r="G121" s="55"/>
      <c r="H121" s="567" t="str">
        <f>IF(COUNT(G117,G119)=2,IF(G117&lt;G119,E117,E119),"")</f>
        <v>Elmo Lageda, Tõnu Piik</v>
      </c>
      <c r="I121" s="571"/>
      <c r="J121" s="498"/>
      <c r="K121" s="498"/>
      <c r="L121" s="498"/>
      <c r="M121" s="498"/>
      <c r="N121" s="498"/>
    </row>
    <row r="122" spans="1:14" x14ac:dyDescent="0.2">
      <c r="A122" s="55"/>
      <c r="B122" s="55"/>
      <c r="C122" s="55"/>
      <c r="D122" s="55"/>
      <c r="E122" s="55"/>
      <c r="F122" s="55"/>
      <c r="G122" s="55"/>
      <c r="H122" s="538" t="s">
        <v>389</v>
      </c>
      <c r="I122" s="55"/>
      <c r="J122" s="498"/>
      <c r="K122" s="498"/>
      <c r="L122" s="498"/>
      <c r="M122" s="498"/>
      <c r="N122" s="498"/>
    </row>
    <row r="123" spans="1:14" x14ac:dyDescent="0.2">
      <c r="A123" s="55"/>
      <c r="B123" s="55"/>
      <c r="C123" s="572" t="str">
        <f>IF(COUNT(C102,C104)=2,IF(C102&lt;C104,B102,B104),"")</f>
        <v>-</v>
      </c>
      <c r="D123" s="55"/>
      <c r="E123" s="557">
        <f>IF(C123="-",0,IF(C125="-",13,""))</f>
        <v>0</v>
      </c>
      <c r="F123" s="557"/>
      <c r="G123" s="557"/>
      <c r="H123" s="55"/>
      <c r="I123" s="55"/>
      <c r="J123" s="498"/>
      <c r="K123" s="498"/>
      <c r="L123" s="498"/>
      <c r="M123" s="498"/>
      <c r="N123" s="498"/>
    </row>
    <row r="124" spans="1:14" x14ac:dyDescent="0.2">
      <c r="A124" s="55"/>
      <c r="B124" s="55"/>
      <c r="C124" s="588"/>
      <c r="D124" s="573"/>
      <c r="E124" s="560" t="str">
        <f>IF(COUNT(E123,E125)=2,IF(E123&gt;E125,C123,C125),"")</f>
        <v>Argo Sepp, Emil Murzajev</v>
      </c>
      <c r="F124" s="55"/>
      <c r="G124" s="557">
        <v>1</v>
      </c>
      <c r="H124" s="55"/>
      <c r="I124" s="55"/>
      <c r="J124" s="498"/>
      <c r="K124" s="498"/>
      <c r="L124" s="498"/>
      <c r="M124" s="498"/>
      <c r="N124" s="498"/>
    </row>
    <row r="125" spans="1:14" x14ac:dyDescent="0.2">
      <c r="A125" s="55"/>
      <c r="B125" s="55"/>
      <c r="C125" s="572" t="str">
        <f>IF(COUNT(C106,C108)=2,IF(C106&lt;C108,B106,B108),"")</f>
        <v>Argo Sepp, Emil Murzajev</v>
      </c>
      <c r="D125" s="574"/>
      <c r="E125" s="562">
        <f>IF(C125="-",0,IF(C123="-",13,""))</f>
        <v>13</v>
      </c>
      <c r="F125" s="573"/>
      <c r="G125" s="557"/>
      <c r="H125" s="55"/>
      <c r="I125" s="55"/>
      <c r="J125" s="506"/>
      <c r="K125" s="506"/>
      <c r="L125" s="506"/>
      <c r="M125" s="506"/>
      <c r="N125" s="506"/>
    </row>
    <row r="126" spans="1:14" ht="13.5" thickBot="1" x14ac:dyDescent="0.25">
      <c r="A126" s="55"/>
      <c r="B126" s="55"/>
      <c r="C126" s="557"/>
      <c r="D126" s="557"/>
      <c r="E126" s="575"/>
      <c r="F126" s="576"/>
      <c r="G126" s="557"/>
      <c r="H126" s="567" t="str">
        <f>IF(COUNT(G124,G128)=2,IF(G124&gt;G128,E124,E128),"")</f>
        <v>Aarne Välja, Janek Tarto</v>
      </c>
      <c r="I126" s="55"/>
      <c r="J126" s="506"/>
      <c r="K126" s="506"/>
      <c r="L126" s="506"/>
      <c r="M126" s="506"/>
      <c r="N126" s="506"/>
    </row>
    <row r="127" spans="1:14" x14ac:dyDescent="0.2">
      <c r="A127" s="55"/>
      <c r="B127" s="55"/>
      <c r="C127" s="572" t="str">
        <f>IF(COUNT(C110,C112)=2,IF(C110&lt;C112,B110,B112),"")</f>
        <v>-</v>
      </c>
      <c r="D127" s="557"/>
      <c r="E127" s="557">
        <f>IF(C127="-",0,IF(C129="-",13,""))</f>
        <v>0</v>
      </c>
      <c r="F127" s="576"/>
      <c r="G127" s="577"/>
      <c r="H127" s="569" t="s">
        <v>390</v>
      </c>
      <c r="I127" s="570"/>
      <c r="J127" s="506"/>
      <c r="K127" s="506"/>
      <c r="L127" s="506"/>
      <c r="M127" s="506"/>
      <c r="N127" s="506"/>
    </row>
    <row r="128" spans="1:14" x14ac:dyDescent="0.2">
      <c r="A128" s="55"/>
      <c r="B128" s="55"/>
      <c r="C128" s="588"/>
      <c r="D128" s="573"/>
      <c r="E128" s="560" t="str">
        <f>IF(COUNT(E127,E129)=2,IF(E127&gt;E129,C127,C129),"")</f>
        <v>Aarne Välja, Janek Tarto</v>
      </c>
      <c r="F128" s="566"/>
      <c r="G128" s="562">
        <v>13</v>
      </c>
      <c r="H128" s="55"/>
      <c r="I128" s="55"/>
      <c r="J128" s="506"/>
      <c r="K128" s="506"/>
      <c r="L128" s="506"/>
      <c r="M128" s="506"/>
      <c r="N128" s="506"/>
    </row>
    <row r="129" spans="1:14" ht="13.5" thickBot="1" x14ac:dyDescent="0.25">
      <c r="A129" s="55"/>
      <c r="B129" s="55"/>
      <c r="C129" s="572" t="str">
        <f>IF(COUNT(C114,C116)=2,IF(C114&lt;C116,B114,B116),"")</f>
        <v>Aarne Välja, Janek Tarto</v>
      </c>
      <c r="D129" s="574"/>
      <c r="E129" s="562">
        <f>IF(C129="-",0,IF(C127="-",13,""))</f>
        <v>13</v>
      </c>
      <c r="F129" s="557"/>
      <c r="G129" s="575"/>
      <c r="H129" s="567" t="str">
        <f>IF(COUNT(G124,G128)=2,IF(G124&lt;G128,E124,E128),"")</f>
        <v>Argo Sepp, Emil Murzajev</v>
      </c>
      <c r="I129" s="571"/>
      <c r="J129" s="506"/>
      <c r="K129" s="506"/>
      <c r="L129" s="506"/>
      <c r="M129" s="506"/>
      <c r="N129" s="506"/>
    </row>
    <row r="130" spans="1:14" x14ac:dyDescent="0.2">
      <c r="A130" s="55"/>
      <c r="B130" s="55"/>
      <c r="C130" s="557"/>
      <c r="D130" s="557"/>
      <c r="E130" s="557"/>
      <c r="F130" s="557"/>
      <c r="G130" s="575"/>
      <c r="H130" s="569" t="s">
        <v>391</v>
      </c>
      <c r="I130" s="554"/>
      <c r="J130" s="506"/>
      <c r="K130" s="506"/>
      <c r="L130" s="506"/>
      <c r="M130" s="506"/>
      <c r="N130" s="506"/>
    </row>
    <row r="131" spans="1:14" x14ac:dyDescent="0.2">
      <c r="A131" s="55"/>
      <c r="B131" s="55"/>
      <c r="C131" s="557"/>
      <c r="D131" s="575"/>
      <c r="E131" s="551" t="str">
        <f>IF(COUNT(E123,E125)=2,IF(E123&lt;E125,C123,C125),"")</f>
        <v>-</v>
      </c>
      <c r="F131" s="55"/>
      <c r="G131" s="557">
        <f>IF(E131="-",0,IF(E133="-",13,""))</f>
        <v>0</v>
      </c>
      <c r="H131" s="554"/>
      <c r="I131" s="554"/>
      <c r="J131" s="55"/>
      <c r="K131" s="55"/>
      <c r="L131" s="55"/>
      <c r="M131" s="55"/>
      <c r="N131" s="55"/>
    </row>
    <row r="132" spans="1:14" ht="13.5" thickBot="1" x14ac:dyDescent="0.25">
      <c r="A132" s="55"/>
      <c r="B132" s="55"/>
      <c r="C132" s="557"/>
      <c r="D132" s="575"/>
      <c r="E132" s="587"/>
      <c r="F132" s="563"/>
      <c r="G132" s="571"/>
      <c r="H132" s="567" t="str">
        <f>IF(COUNT(G131,G133)=2,IF(G131&gt;G133,E131,E133),"")</f>
        <v>-</v>
      </c>
      <c r="I132" s="571"/>
      <c r="J132" s="55"/>
      <c r="K132" s="55"/>
      <c r="L132" s="55"/>
      <c r="M132" s="55"/>
      <c r="N132" s="55"/>
    </row>
    <row r="133" spans="1:14" x14ac:dyDescent="0.2">
      <c r="A133" s="55"/>
      <c r="B133" s="55"/>
      <c r="C133" s="557"/>
      <c r="D133" s="575"/>
      <c r="E133" s="572" t="str">
        <f>IF(COUNT(E127,E129)=2,IF(E127&lt;E129,C127,C129),"")</f>
        <v>-</v>
      </c>
      <c r="F133" s="566"/>
      <c r="G133" s="562">
        <f>IF(E133="-",0,IF(E131="-",13,""))</f>
        <v>0</v>
      </c>
      <c r="H133" s="523"/>
      <c r="I133" s="554"/>
      <c r="J133" s="55"/>
      <c r="K133" s="55"/>
      <c r="L133" s="55"/>
      <c r="M133" s="55"/>
      <c r="N133" s="55"/>
    </row>
    <row r="134" spans="1:14" x14ac:dyDescent="0.2">
      <c r="A134" s="55"/>
      <c r="B134" s="55"/>
      <c r="C134" s="55"/>
      <c r="D134" s="554"/>
      <c r="E134" s="55"/>
      <c r="F134" s="55"/>
      <c r="G134" s="55"/>
      <c r="H134" s="554"/>
      <c r="I134" s="554"/>
      <c r="J134" s="55"/>
      <c r="K134" s="55"/>
      <c r="L134" s="55"/>
      <c r="M134" s="55"/>
      <c r="N134" s="55"/>
    </row>
    <row r="135" spans="1:14" ht="13.5" thickBot="1" x14ac:dyDescent="0.25">
      <c r="A135" s="55"/>
      <c r="B135" s="55"/>
      <c r="C135" s="55"/>
      <c r="D135" s="55"/>
      <c r="E135" s="554"/>
      <c r="F135" s="554"/>
      <c r="G135" s="55"/>
      <c r="H135" s="571" t="str">
        <f>IF(COUNT(G131,G133)=2,IF(G131&lt;G133,E131,E133),"")</f>
        <v>-</v>
      </c>
      <c r="I135" s="571"/>
      <c r="J135" s="55"/>
      <c r="K135" s="55"/>
      <c r="L135" s="55"/>
      <c r="M135" s="55"/>
      <c r="N135" s="55"/>
    </row>
    <row r="136" spans="1:14" x14ac:dyDescent="0.2">
      <c r="A136" s="55"/>
      <c r="B136" s="55"/>
      <c r="C136" s="55"/>
      <c r="D136" s="55"/>
      <c r="E136" s="554"/>
      <c r="F136" s="554"/>
      <c r="G136" s="55"/>
      <c r="H136" s="523"/>
      <c r="I136" s="55"/>
      <c r="J136" s="55"/>
      <c r="K136" s="55"/>
      <c r="L136" s="55"/>
      <c r="M136" s="55"/>
      <c r="N136" s="55"/>
    </row>
    <row r="137" spans="1:14" x14ac:dyDescent="0.2">
      <c r="A137" s="55"/>
      <c r="B137" s="55"/>
      <c r="C137" s="55"/>
      <c r="D137" s="55"/>
      <c r="E137" s="55"/>
      <c r="F137" s="55"/>
      <c r="G137" s="55"/>
      <c r="H137" s="55"/>
      <c r="I137" s="55"/>
      <c r="J137" s="55"/>
      <c r="K137" s="55"/>
      <c r="L137" s="55"/>
      <c r="M137" s="55"/>
      <c r="N137" s="55"/>
    </row>
    <row r="138" spans="1:14" x14ac:dyDescent="0.2">
      <c r="A138" s="553" t="s">
        <v>497</v>
      </c>
      <c r="B138" s="554"/>
      <c r="C138" s="525"/>
      <c r="D138" s="525"/>
      <c r="E138" s="525"/>
      <c r="F138" s="527"/>
      <c r="G138" s="550"/>
      <c r="H138" s="55"/>
      <c r="I138" s="55"/>
      <c r="J138" s="55"/>
      <c r="K138" s="55"/>
      <c r="L138" s="55"/>
      <c r="M138" s="55"/>
      <c r="N138" s="55"/>
    </row>
    <row r="139" spans="1:14" x14ac:dyDescent="0.2">
      <c r="A139" s="55"/>
      <c r="B139" s="55"/>
      <c r="C139" s="55"/>
      <c r="D139" s="55"/>
      <c r="E139" s="55"/>
      <c r="F139" s="55"/>
      <c r="G139" s="55"/>
      <c r="H139" s="55"/>
      <c r="I139" s="55"/>
      <c r="J139" s="55"/>
      <c r="K139" s="55"/>
      <c r="L139" s="55"/>
      <c r="M139" s="55"/>
      <c r="N139" s="55"/>
    </row>
    <row r="140" spans="1:14" x14ac:dyDescent="0.2">
      <c r="A140" s="500" t="s">
        <v>13</v>
      </c>
      <c r="B140" s="501"/>
      <c r="C140" s="502">
        <v>1</v>
      </c>
      <c r="D140" s="502">
        <v>2</v>
      </c>
      <c r="E140" s="502">
        <v>3</v>
      </c>
      <c r="F140" s="502"/>
      <c r="G140" s="502"/>
      <c r="H140" s="502" t="s">
        <v>363</v>
      </c>
      <c r="I140" s="501" t="s">
        <v>26</v>
      </c>
      <c r="J140" s="503" t="s">
        <v>156</v>
      </c>
      <c r="K140" s="504" t="s">
        <v>156</v>
      </c>
      <c r="L140" s="505" t="s">
        <v>364</v>
      </c>
      <c r="M140" s="506" t="b">
        <f>OR(AND(COUNTA(B141:B145)=3,COUNTA(C141:G145)=6),AND(COUNTA(B141:B145)=4,COUNTA(C141:G145)=12),AND(COUNTA(B141:B145)=5,COUNTA(C141:G145)=20))</f>
        <v>1</v>
      </c>
      <c r="N140"/>
    </row>
    <row r="141" spans="1:14" x14ac:dyDescent="0.2">
      <c r="A141" s="500">
        <v>1</v>
      </c>
      <c r="B141" s="583" t="s">
        <v>482</v>
      </c>
      <c r="C141" s="509"/>
      <c r="D141" s="510">
        <v>6</v>
      </c>
      <c r="E141" s="510">
        <v>5</v>
      </c>
      <c r="F141" s="510"/>
      <c r="G141" s="510"/>
      <c r="H141" s="511" t="str">
        <f>(IF(D141-C142&gt;0,1)+IF(E141-C143&gt;0,1)+IF(F141-C144&gt;0,1)+IF(G141-C145&gt;0,1))&amp;"-"&amp;(IF(D141-C142&lt;0,1)+IF(E141-C143&lt;0,1)+IF(F141-C144&lt;0,1)+IF(G141-C145&lt;0,1))</f>
        <v>0-2</v>
      </c>
      <c r="I141" s="510" t="str">
        <f>IF(AND(B141&lt;&gt;"",M$140=TRUE),A$140&amp;RANK(M141,M$141:M$145,0),"")</f>
        <v>K3</v>
      </c>
      <c r="J141" s="512">
        <f>VALUE(LEFT(H141,1))</f>
        <v>0</v>
      </c>
      <c r="K141" s="513">
        <f>IF(AND(J141=1,J142=1,D141&gt;C142),1)+IF(AND(J141=1,J143=1,E141&gt;C143),1)+IF(AND(J141=1,J144=1,F141&gt;C144),1)+IF(AND(J141=1,J145=1,G141&gt;C145),1)+IF(AND(J141=2,J142=2,D141&gt;C142),1)+IF(AND(J141=2,J143=2,E141&gt;C143),1)+IF(AND(J141=2,J144=2,F141&gt;C144),1)+IF(AND(J141=2,J145=2,G141&gt;C145),1)+IF(AND(J141=3,J142=3,D141&gt;C142),1)+IF(AND(J141=3,J143=3,E141&gt;C143),1)+IF(AND(J141=3,J144=3,F141&gt;C144),1)+IF(AND(J141=3,J145=3,G141&gt;C145),1)</f>
        <v>0</v>
      </c>
      <c r="L141" s="514">
        <f>IF(AND(J141=1,J142=1),D141-C142)+IF(AND(J141=1,J143=1),E141-C143)+IF(AND(J141=1,J144=1),F141-C144)+IF(AND(J141=1,J145=1),G141-C145)+IF(AND(J141=2,J142=2),D141-C142)+IF(AND(J141=2,J143=2),E141-C143)+IF(AND(J141=2,J144=2),F141-C144)+IF(AND(J141=2,J145=2),G141-C145)+IF(AND(J141=3,J142=3),D141-C142)+IF(AND(J141=3,J143=3),E141-C143)+IF(AND(J141=3,J144=3),F141-C144)+IF(AND(J141=3,J145=3),G141-C145)</f>
        <v>0</v>
      </c>
      <c r="M141" s="515">
        <f>10000*J141+K141*100+L141</f>
        <v>0</v>
      </c>
      <c r="N141"/>
    </row>
    <row r="142" spans="1:14" x14ac:dyDescent="0.2">
      <c r="A142" s="500">
        <v>2</v>
      </c>
      <c r="B142" s="583" t="s">
        <v>38</v>
      </c>
      <c r="C142" s="510">
        <v>13</v>
      </c>
      <c r="D142" s="509"/>
      <c r="E142" s="510">
        <v>10</v>
      </c>
      <c r="F142" s="510"/>
      <c r="G142" s="510"/>
      <c r="H142" s="511" t="str">
        <f>(IF(C142-D141&gt;0,1)+IF(E142-D143&gt;0,1)+IF(F142-D144&gt;0,1)+IF(G142-D145&gt;0,1))&amp;"-"&amp;(IF(C142-D141&lt;0,1)+IF(E142-D143&lt;0,1)+IF(F142-D144&lt;0,1)+IF(G142-D145&lt;0,1))</f>
        <v>1-1</v>
      </c>
      <c r="I142" s="510" t="str">
        <f>IF(AND(B142&lt;&gt;"",M$140=TRUE),A$140&amp;RANK(M142,M$141:M$145,0),"")</f>
        <v>K2</v>
      </c>
      <c r="J142" s="512">
        <f t="shared" ref="J142:J145" si="0">VALUE(LEFT(H142,1))</f>
        <v>1</v>
      </c>
      <c r="K142" s="639">
        <f>IF(AND(J142=1,J141=1,C142&gt;D141),1)+IF(AND(J142=1,J143=1,E142&gt;D143),1)+IF(AND(J142=1,J144=1,F142&gt;D144),1)+IF(AND(J142=1,J145=1,G142&gt;D145),1)+IF(AND(J142=2,J141=2,C142&gt;D141),1)+IF(AND(J142=2,J143=2,E142&gt;D143),1)+IF(AND(J142=2,J144=2,F142&gt;D144),1)+IF(AND(J142=2,J145=2,G142&gt;D145),1)+IF(AND(J142=3,J141=3,C142&gt;D141),1)+IF(AND(J142=3,J143=3,E142&gt;D143),1)+IF(AND(J142=3,J144=3,F142&gt;D144),1)+IF(AND(J142=3,J145=3,G142&gt;D145),1)</f>
        <v>0</v>
      </c>
      <c r="L142" s="514">
        <f>IF(AND(J142=1,J141=1),C142-D141)+IF(AND(J142=1,J143=1),E142-D143)+IF(AND(J142=1,J144=1),F142-D144)+IF(AND(J142=1,J145=1),G142-D145)+IF(AND(J142=2,J141=2),C142-D141)+IF(AND(J142=2,J143=2),E142-D143)+IF(AND(J142=2,J144=2),F142-D144)+IF(AND(J142=2,J145=2),G142-D145)+IF(AND(J142=3,J141=3),C142-D141)+IF(AND(J142=3,J143=3),E142-D143)+IF(AND(J142=3,J144=3),F142-D144)+IF(AND(J142=3,J145=3),G142-D145)</f>
        <v>0</v>
      </c>
      <c r="M142" s="515">
        <f t="shared" ref="M142:M145" si="1">10000*J142+K142*100+L142</f>
        <v>10000</v>
      </c>
      <c r="N142"/>
    </row>
    <row r="143" spans="1:14" x14ac:dyDescent="0.2">
      <c r="A143" s="500">
        <v>3</v>
      </c>
      <c r="B143" s="583" t="s">
        <v>440</v>
      </c>
      <c r="C143" s="510">
        <v>13</v>
      </c>
      <c r="D143" s="520">
        <v>13</v>
      </c>
      <c r="E143" s="509"/>
      <c r="F143" s="510"/>
      <c r="G143" s="510"/>
      <c r="H143" s="511" t="str">
        <f>(IF(C143-E141&gt;0,1)+IF(D143-E142&gt;0,1)+IF(F143-E144&gt;0,1)+IF(G143-E145&gt;0,1))&amp;"-"&amp;(IF(C143-E141&lt;0,1)+IF(D143-E142&lt;0,1)+IF(F143-E144&lt;0,1)+IF(G143-E145&lt;0,1))</f>
        <v>2-0</v>
      </c>
      <c r="I143" s="510" t="str">
        <f>IF(AND(B143&lt;&gt;"",M$140=TRUE),A$140&amp;RANK(M143,M$141:M$145,0),"")</f>
        <v>K1</v>
      </c>
      <c r="J143" s="512">
        <f t="shared" si="0"/>
        <v>2</v>
      </c>
      <c r="K143" s="639">
        <f>IF(AND(J143=1,J141=1,C143&gt;E141),1)+IF(AND(J143=1,J142=1,D143&gt;E142),1)+IF(AND(J143=1,J144=1,F143&gt;E144),1)+IF(AND(J143=1,J145=1,G143&gt;E145),1)+IF(AND(J143=2,J141=2,C143&gt;E141),1)+IF(AND(J143=2,J142=2,D143&gt;E142),1)+IF(AND(J143=2,J144=2,F143&gt;E144),1)+IF(AND(J143=2,J145=2,G143&gt;E145),1)+IF(AND(J143=3,J141=3,C143&gt;E141),1)+IF(AND(J143=3,J142=3,D143&gt;E142),1)+IF(AND(J143=3,J144=3,F143&gt;E144),1)+IF(AND(J143=3,J145=3,G143&gt;E145),1)</f>
        <v>0</v>
      </c>
      <c r="L143" s="514">
        <f>IF(AND(J143=1,J141=1),C143-E141)+IF(AND(J143=1,J142=1),D143-E142)+IF(AND(J143=1,J144=1),F143-E144)+IF(AND(J143=1,J145=1),G143-E145)+IF(AND(J143=2,J141=2),C143-E141)+IF(AND(J143=2,J142=2),D143-E142)+IF(AND(J143=2,J144=2),F143-E144)+IF(AND(J143=2,J145=2),G143-E145)+IF(AND(J143=3,J141=3),C143-E141)+IF(AND(J143=3,J142=3),D143-E142)+IF(AND(J143=3,J144=3),F143-E144)+IF(AND(J143=3,J145=3),G143-E145)</f>
        <v>0</v>
      </c>
      <c r="M143" s="515">
        <f t="shared" si="1"/>
        <v>20000</v>
      </c>
      <c r="N143"/>
    </row>
    <row r="144" spans="1:14" hidden="1" x14ac:dyDescent="0.2">
      <c r="A144" s="500">
        <v>4</v>
      </c>
      <c r="B144" s="521"/>
      <c r="C144" s="510"/>
      <c r="D144" s="520"/>
      <c r="E144" s="510"/>
      <c r="F144" s="509"/>
      <c r="G144" s="522"/>
      <c r="H144" s="511" t="str">
        <f>(IF(C144-F141&gt;0,1)+IF(D144-F142&gt;0,1)+IF(E144-F143&gt;0,1)+IF(G144-F145&gt;0,1))&amp;"-"&amp;(IF(C144-F141&lt;0,1)+IF(D144-F142&lt;0,1)+IF(E144-F143&lt;0,1)+IF(G144-F145&lt;0,1))</f>
        <v>0-0</v>
      </c>
      <c r="I144" s="510" t="str">
        <f>IF(AND(B144&lt;&gt;"",M$140=TRUE),A$140&amp;RANK(M144,M$141:M$145,0),"")</f>
        <v/>
      </c>
      <c r="J144" s="512">
        <f t="shared" si="0"/>
        <v>0</v>
      </c>
      <c r="K144" s="639">
        <f>IF(AND(J144=1,J141=1,C144&gt;F141),1)+IF(AND(J144=1,J142=1,D144&gt;F142),1)+IF(AND(J144=1,J143=1,E144&gt;F143),1)+IF(AND(J144=1,J145=1,G144&gt;F145),1)+IF(AND(J144=2,J141=2,C144&gt;F141),1)+IF(AND(J144=2,J142=2,D144&gt;F142),1)+IF(AND(J144=2,J143=2,E144&gt;F143),1)+IF(AND(J144=2,J145=2,G144&gt;F145),1)+IF(AND(J144=3,J141=3,C144&gt;F141),1)+IF(AND(J144=3,J142=3,D144&gt;F142),1)+IF(AND(J144=3,J143=3,E144&gt;F143),1)+IF(AND(J144=3,J145=3,G144&gt;F145),1)</f>
        <v>0</v>
      </c>
      <c r="L144" s="514">
        <f>IF(AND(J144=1,J141=1),C144-F141)+IF(AND(J144=1,J142=1),D144-F142)+IF(AND(J144=1,J143=1),E144-F143)+IF(AND(J144=1,J145=1),G144-F145)+IF(AND(J144=2,J141=2),C144-F141)+IF(AND(J144=2,J142=2),D144-F142)+IF(AND(J144=2,J143=2),E144-F143)+IF(AND(J144=2,J145=2),G144-F145)+IF(AND(J144=3,J141=3),C144-F141)+IF(AND(J144=3,J142=3),D144-F142)+IF(AND(J144=3,J143=3),E144-F143)+IF(AND(J144=3,J145=3),G144-F145)</f>
        <v>0</v>
      </c>
      <c r="M144" s="515">
        <f t="shared" si="1"/>
        <v>0</v>
      </c>
      <c r="N144"/>
    </row>
    <row r="145" spans="1:14" hidden="1" x14ac:dyDescent="0.2">
      <c r="A145" s="500">
        <v>5</v>
      </c>
      <c r="B145" s="521"/>
      <c r="C145" s="510"/>
      <c r="D145" s="510"/>
      <c r="E145" s="510"/>
      <c r="F145" s="510"/>
      <c r="G145" s="509"/>
      <c r="H145" s="511" t="str">
        <f>(IF(C145-G141&gt;0,1)+IF(D145-G142&gt;0,1)+IF(E145-G143&gt;0,1)+IF(F145-G144&gt;0,1))&amp;"-"&amp;(IF(C145-G141&lt;0,1)+IF(D145-G142&lt;0,1)+IF(E145-G143&lt;0,1)+IF(F145-G144&lt;0,1))</f>
        <v>0-0</v>
      </c>
      <c r="I145" s="510" t="str">
        <f>IF(AND(B145&lt;&gt;"",M$140=TRUE),A$140&amp;RANK(M145,M$141:M$145,0),"")</f>
        <v/>
      </c>
      <c r="J145" s="512">
        <f t="shared" si="0"/>
        <v>0</v>
      </c>
      <c r="K145" s="639">
        <f>IF(AND(J145=1,J141=1,C145&gt;G141),1)+IF(AND(J145=1,J142=1,D145&gt;G142),1)+IF(AND(J145=1,J143=1,E145&gt;G143),1)+IF(AND(J145=1,J144=1,F145&gt;G144),1)+IF(AND(J145=2,J141=2,C145&gt;G141),1)+IF(AND(J145=2,J142=2,D145&gt;G142),1)+IF(AND(J145=2,J143=2,E145&gt;G143),1)+IF(AND(J145=2,J144=2,F145&gt;G144),1)+IF(AND(J145=3,J141=3,C145&gt;G141),1)+IF(AND(J145=3,J142=3,D145&gt;G142),1)+IF(AND(J145=3,J143=3,E145&gt;G143),1)+IF(AND(J145=3,J144=3,F145&gt;G144),1)</f>
        <v>0</v>
      </c>
      <c r="L145" s="514">
        <f>IF(AND(J145=1,J141=1),C145-G141)+IF(AND(J145=1,J142=1),D145-G142)+IF(AND(J145=1,J143=1),E145-G143)+IF(AND(J145=1,J144=1),F145-G144)+IF(AND(J145=2,J141=2),C145-G141)+IF(AND(J145=2,J142=2),D145-G142)+IF(AND(J145=2,J143=2),E145-G143)+IF(AND(J145=2,J144=2),F145-G144)+IF(AND(J145=3,J141=3),C145-G141)+IF(AND(J145=3,J142=3),D145-G142)+IF(AND(J145=3,J143=3),E145-G143)+IF(AND(J145=3,J144=3),F145-G144)</f>
        <v>0</v>
      </c>
      <c r="M145" s="515">
        <f t="shared" si="1"/>
        <v>0</v>
      </c>
      <c r="N145"/>
    </row>
    <row r="146" spans="1:14" x14ac:dyDescent="0.2">
      <c r="A146" s="55"/>
      <c r="B146" s="55"/>
      <c r="C146" s="55"/>
      <c r="D146" s="55"/>
      <c r="E146" s="55"/>
      <c r="F146" s="55"/>
      <c r="G146" s="55"/>
      <c r="H146" s="55"/>
      <c r="I146" s="55"/>
      <c r="J146" s="55"/>
      <c r="K146" s="55"/>
      <c r="L146" s="55"/>
      <c r="M146" s="55"/>
      <c r="N146" s="55"/>
    </row>
    <row r="147" spans="1:14" x14ac:dyDescent="0.2">
      <c r="A147" s="55"/>
      <c r="B147" s="549" t="s">
        <v>16</v>
      </c>
      <c r="C147" s="550" t="s">
        <v>366</v>
      </c>
      <c r="D147" s="55"/>
      <c r="E147" s="55"/>
      <c r="F147" s="55"/>
      <c r="G147" s="55"/>
      <c r="H147" s="55"/>
      <c r="I147" s="55"/>
      <c r="J147" s="55"/>
      <c r="K147" s="55"/>
      <c r="L147" s="55"/>
      <c r="M147" s="55"/>
      <c r="N147" s="55"/>
    </row>
    <row r="148" spans="1:14" x14ac:dyDescent="0.2">
      <c r="A148" s="55"/>
      <c r="B148" s="549" t="s">
        <v>17</v>
      </c>
      <c r="C148" s="550" t="s">
        <v>367</v>
      </c>
      <c r="D148" s="55"/>
      <c r="E148" s="55"/>
      <c r="F148" s="55"/>
      <c r="G148" s="55"/>
      <c r="H148" s="55"/>
      <c r="I148" s="55"/>
      <c r="J148" s="55"/>
      <c r="K148" s="55"/>
      <c r="L148" s="55"/>
      <c r="M148" s="55"/>
      <c r="N148" s="55"/>
    </row>
    <row r="149" spans="1:14" x14ac:dyDescent="0.2">
      <c r="A149" s="55"/>
      <c r="B149" s="549" t="s">
        <v>18</v>
      </c>
      <c r="C149" s="550" t="s">
        <v>368</v>
      </c>
      <c r="D149" s="55"/>
      <c r="E149" s="55"/>
      <c r="F149" s="55"/>
      <c r="G149" s="55"/>
      <c r="H149" s="55"/>
      <c r="I149" s="55"/>
      <c r="J149" s="55"/>
      <c r="K149" s="55"/>
      <c r="L149" s="55"/>
      <c r="M149" s="55"/>
      <c r="N149" s="55"/>
    </row>
    <row r="150" spans="1:14" x14ac:dyDescent="0.2">
      <c r="A150" s="55"/>
      <c r="B150" s="55"/>
      <c r="C150" s="55"/>
      <c r="D150" s="55"/>
      <c r="E150" s="55"/>
      <c r="F150" s="55"/>
      <c r="J150" s="55"/>
      <c r="K150" s="55"/>
      <c r="L150" s="55"/>
      <c r="M150" s="55"/>
      <c r="N150" s="55"/>
    </row>
    <row r="151" spans="1:14" ht="13.5" thickBot="1" x14ac:dyDescent="0.25">
      <c r="A151" s="55"/>
      <c r="B151" s="55"/>
      <c r="C151" s="55"/>
      <c r="D151" s="55"/>
      <c r="E151" s="55"/>
      <c r="F151" s="55"/>
      <c r="G151" s="640" t="s">
        <v>574</v>
      </c>
      <c r="H151" s="567" t="str">
        <f>IFERROR(INDEX(B$141:B$145,MATCH(G151,I$141:I$145,0)),"")</f>
        <v>Jaan Sepp, Oskar Sepp</v>
      </c>
      <c r="I151" s="55"/>
      <c r="J151" s="55"/>
      <c r="K151" s="55"/>
      <c r="L151" s="55"/>
      <c r="M151" s="55"/>
      <c r="N151" s="55"/>
    </row>
    <row r="152" spans="1:14" x14ac:dyDescent="0.2">
      <c r="A152" s="55"/>
      <c r="B152" s="55"/>
      <c r="C152" s="55"/>
      <c r="D152" s="55"/>
      <c r="E152" s="55"/>
      <c r="F152" s="55"/>
      <c r="G152" s="640"/>
      <c r="H152" s="569" t="s">
        <v>392</v>
      </c>
      <c r="I152" s="570"/>
      <c r="J152" s="55"/>
      <c r="K152" s="55"/>
      <c r="L152" s="55"/>
      <c r="M152" s="55"/>
      <c r="N152" s="55"/>
    </row>
    <row r="153" spans="1:14" x14ac:dyDescent="0.2">
      <c r="A153" s="55"/>
      <c r="B153" s="55"/>
      <c r="C153" s="55"/>
      <c r="D153" s="55"/>
      <c r="E153" s="55"/>
      <c r="F153" s="55"/>
      <c r="G153" s="640"/>
      <c r="H153" s="55"/>
      <c r="I153" s="55"/>
      <c r="J153" s="55"/>
      <c r="K153" s="55"/>
      <c r="L153" s="55"/>
      <c r="M153" s="55"/>
      <c r="N153" s="55"/>
    </row>
    <row r="154" spans="1:14" ht="13.5" thickBot="1" x14ac:dyDescent="0.25">
      <c r="A154" s="55"/>
      <c r="B154" s="55"/>
      <c r="C154" s="55"/>
      <c r="D154" s="55"/>
      <c r="E154" s="55"/>
      <c r="F154" s="55"/>
      <c r="G154" s="640" t="s">
        <v>575</v>
      </c>
      <c r="H154" s="567" t="str">
        <f>IFERROR(INDEX(B$141:B$145,MATCH(G154,I$141:I$145,0)),"")</f>
        <v>Tõnu Kapper, Vladimir Ogneštšikov</v>
      </c>
      <c r="I154" s="571"/>
      <c r="J154" s="55"/>
      <c r="K154" s="55"/>
      <c r="L154" s="55"/>
      <c r="M154" s="55"/>
      <c r="N154" s="55"/>
    </row>
    <row r="155" spans="1:14" x14ac:dyDescent="0.2">
      <c r="A155" s="55"/>
      <c r="B155" s="55"/>
      <c r="C155" s="55"/>
      <c r="D155" s="55"/>
      <c r="E155" s="55"/>
      <c r="F155" s="55"/>
      <c r="G155" s="640"/>
      <c r="H155" s="569" t="s">
        <v>393</v>
      </c>
      <c r="I155" s="554"/>
      <c r="J155" s="55"/>
      <c r="K155" s="55"/>
      <c r="L155" s="55"/>
      <c r="M155" s="55"/>
      <c r="N155" s="55"/>
    </row>
    <row r="156" spans="1:14" x14ac:dyDescent="0.2">
      <c r="A156" s="55"/>
      <c r="B156" s="55"/>
      <c r="C156" s="55"/>
      <c r="D156" s="55"/>
      <c r="E156" s="55"/>
      <c r="F156" s="55"/>
      <c r="G156" s="640"/>
      <c r="H156" s="55"/>
      <c r="I156" s="55"/>
      <c r="J156" s="55"/>
      <c r="K156" s="55"/>
      <c r="L156" s="55"/>
      <c r="M156" s="55"/>
      <c r="N156" s="55"/>
    </row>
    <row r="157" spans="1:14" ht="13.5" thickBot="1" x14ac:dyDescent="0.25">
      <c r="A157" s="55"/>
      <c r="B157" s="55"/>
      <c r="C157" s="55"/>
      <c r="D157" s="55"/>
      <c r="E157" s="55"/>
      <c r="F157" s="55"/>
      <c r="G157" s="640" t="s">
        <v>576</v>
      </c>
      <c r="H157" s="567" t="str">
        <f>IFERROR(INDEX(B$141:B$145,MATCH(G157,I$141:I$145,0)),"")</f>
        <v>Andrei Grintšak, Daniil Alekankin</v>
      </c>
      <c r="I157" s="571"/>
      <c r="J157" s="55"/>
      <c r="K157" s="55"/>
      <c r="L157" s="55"/>
      <c r="M157" s="55"/>
      <c r="N157" s="55"/>
    </row>
    <row r="158" spans="1:14" x14ac:dyDescent="0.2">
      <c r="A158" s="55"/>
      <c r="B158" s="55"/>
      <c r="C158" s="55"/>
      <c r="D158" s="55"/>
      <c r="E158" s="55"/>
      <c r="F158" s="55"/>
      <c r="G158" s="637"/>
      <c r="H158" s="523" t="s">
        <v>399</v>
      </c>
      <c r="I158" s="554"/>
      <c r="J158" s="55"/>
      <c r="K158" s="55"/>
      <c r="L158" s="55"/>
      <c r="M158" s="55"/>
      <c r="N158" s="55"/>
    </row>
    <row r="159" spans="1:14" hidden="1" x14ac:dyDescent="0.2">
      <c r="A159" s="32"/>
      <c r="B159" s="32"/>
      <c r="C159" s="32"/>
      <c r="D159" s="32"/>
      <c r="E159" s="32"/>
      <c r="F159" s="32"/>
      <c r="G159" s="32"/>
      <c r="H159" s="32"/>
      <c r="I159" s="32"/>
    </row>
    <row r="160" spans="1:14" hidden="1" x14ac:dyDescent="0.2">
      <c r="A160" s="32"/>
      <c r="B160" s="32"/>
      <c r="C160" s="32"/>
      <c r="D160" s="32"/>
      <c r="E160" s="32"/>
      <c r="F160" s="32"/>
      <c r="G160" s="32"/>
      <c r="H160" s="32"/>
      <c r="I160" s="32"/>
    </row>
    <row r="161" spans="1:9" hidden="1" x14ac:dyDescent="0.2">
      <c r="A161" s="32"/>
      <c r="B161" s="32"/>
      <c r="C161" s="32"/>
      <c r="D161" s="32"/>
      <c r="E161" s="32"/>
      <c r="F161" s="32"/>
      <c r="G161" s="32"/>
      <c r="H161" s="32"/>
      <c r="I161" s="32"/>
    </row>
    <row r="162" spans="1:9" hidden="1" x14ac:dyDescent="0.2">
      <c r="A162" s="32"/>
      <c r="B162" s="32"/>
      <c r="C162" s="32"/>
      <c r="D162" s="32"/>
      <c r="E162" s="32"/>
      <c r="F162" s="32"/>
      <c r="G162" s="32"/>
      <c r="H162" s="32"/>
      <c r="I162" s="32"/>
    </row>
    <row r="163" spans="1:9" hidden="1" x14ac:dyDescent="0.2">
      <c r="A163" s="32"/>
      <c r="B163" s="32"/>
      <c r="C163" s="32"/>
      <c r="D163" s="32"/>
      <c r="E163" s="32"/>
      <c r="F163" s="32"/>
      <c r="G163" s="32"/>
      <c r="H163" s="32"/>
      <c r="I163" s="32"/>
    </row>
    <row r="164" spans="1:9" hidden="1" x14ac:dyDescent="0.2">
      <c r="A164" s="32"/>
      <c r="B164" s="32"/>
      <c r="C164" s="32"/>
      <c r="D164" s="32"/>
      <c r="E164" s="32"/>
      <c r="F164" s="32"/>
      <c r="G164" s="32"/>
      <c r="H164" s="32"/>
      <c r="I164" s="32"/>
    </row>
    <row r="165" spans="1:9" hidden="1" x14ac:dyDescent="0.2">
      <c r="A165" s="32"/>
      <c r="B165" s="32"/>
      <c r="C165" s="32"/>
      <c r="D165" s="32"/>
      <c r="E165" s="32"/>
      <c r="F165" s="32"/>
      <c r="G165" s="32"/>
      <c r="H165" s="32"/>
      <c r="I165" s="32"/>
    </row>
    <row r="166" spans="1:9" hidden="1" x14ac:dyDescent="0.2">
      <c r="A166" s="32"/>
      <c r="B166" s="32"/>
      <c r="C166" s="32"/>
      <c r="D166" s="32"/>
      <c r="E166" s="32"/>
      <c r="F166" s="32"/>
      <c r="G166" s="32"/>
      <c r="H166" s="32"/>
      <c r="I166" s="32"/>
    </row>
    <row r="167" spans="1:9" hidden="1" x14ac:dyDescent="0.2">
      <c r="A167" s="32"/>
      <c r="B167" s="32"/>
      <c r="C167" s="32"/>
      <c r="D167" s="32"/>
      <c r="E167" s="32"/>
      <c r="F167" s="32"/>
      <c r="G167" s="32"/>
      <c r="H167" s="32"/>
      <c r="I167" s="32"/>
    </row>
    <row r="168" spans="1:9" hidden="1" x14ac:dyDescent="0.2">
      <c r="A168" s="32"/>
      <c r="B168" s="32"/>
      <c r="C168" s="32"/>
      <c r="D168" s="32"/>
      <c r="E168" s="32"/>
      <c r="F168" s="32"/>
      <c r="G168" s="32"/>
      <c r="H168" s="32"/>
      <c r="I168" s="32"/>
    </row>
    <row r="169" spans="1:9" hidden="1" x14ac:dyDescent="0.2">
      <c r="A169" s="32"/>
      <c r="B169" s="32"/>
      <c r="C169" s="32"/>
      <c r="D169" s="32"/>
      <c r="E169" s="32"/>
      <c r="F169" s="32"/>
      <c r="G169" s="32"/>
      <c r="H169" s="32"/>
      <c r="I169" s="32"/>
    </row>
    <row r="170" spans="1:9" hidden="1" x14ac:dyDescent="0.2">
      <c r="A170" s="32"/>
      <c r="B170" s="32"/>
      <c r="C170" s="32"/>
      <c r="D170" s="32"/>
      <c r="E170" s="32"/>
      <c r="F170" s="32"/>
      <c r="G170" s="32"/>
      <c r="H170" s="32"/>
      <c r="I170" s="32"/>
    </row>
    <row r="171" spans="1:9" hidden="1" x14ac:dyDescent="0.2">
      <c r="A171" s="32"/>
      <c r="B171" s="32"/>
      <c r="C171" s="32"/>
      <c r="D171" s="32"/>
      <c r="E171" s="32"/>
      <c r="F171" s="32"/>
      <c r="G171" s="32"/>
      <c r="H171" s="32"/>
      <c r="I171" s="32"/>
    </row>
    <row r="172" spans="1:9" hidden="1" x14ac:dyDescent="0.2">
      <c r="A172" s="32"/>
      <c r="B172" s="32"/>
      <c r="C172" s="32"/>
      <c r="D172" s="32"/>
      <c r="E172" s="32"/>
      <c r="F172" s="32"/>
      <c r="G172" s="32"/>
      <c r="H172" s="32"/>
      <c r="I172" s="32"/>
    </row>
    <row r="173" spans="1:9" hidden="1" x14ac:dyDescent="0.2">
      <c r="A173" s="32"/>
      <c r="B173" s="32"/>
      <c r="C173" s="32"/>
      <c r="D173" s="32"/>
      <c r="E173" s="32"/>
      <c r="F173" s="32"/>
      <c r="G173" s="32"/>
      <c r="H173" s="32"/>
      <c r="I173" s="32"/>
    </row>
    <row r="174" spans="1:9" hidden="1" x14ac:dyDescent="0.2">
      <c r="A174" s="32"/>
      <c r="B174" s="32"/>
      <c r="C174" s="32"/>
      <c r="D174" s="32"/>
      <c r="E174" s="32"/>
      <c r="F174" s="32"/>
      <c r="G174" s="32"/>
      <c r="H174" s="32"/>
      <c r="I174" s="32"/>
    </row>
    <row r="175" spans="1:9" hidden="1" x14ac:dyDescent="0.2">
      <c r="A175" s="32"/>
      <c r="B175" s="32"/>
      <c r="C175" s="32"/>
      <c r="D175" s="32"/>
      <c r="E175" s="32"/>
      <c r="F175" s="32"/>
      <c r="G175" s="32"/>
      <c r="H175" s="32"/>
      <c r="I175" s="32"/>
    </row>
    <row r="176" spans="1:9" hidden="1" x14ac:dyDescent="0.2">
      <c r="A176" s="32"/>
      <c r="B176" s="32"/>
      <c r="C176" s="32"/>
      <c r="D176" s="32"/>
      <c r="E176" s="32"/>
      <c r="F176" s="32"/>
      <c r="G176" s="32"/>
      <c r="H176" s="32"/>
      <c r="I176" s="32"/>
    </row>
    <row r="177" spans="1:9" hidden="1" x14ac:dyDescent="0.2">
      <c r="A177" s="32"/>
      <c r="B177" s="32"/>
      <c r="C177" s="32"/>
      <c r="D177" s="32"/>
      <c r="E177" s="32"/>
      <c r="F177" s="32"/>
      <c r="G177" s="32"/>
      <c r="H177" s="32"/>
      <c r="I177" s="32"/>
    </row>
    <row r="178" spans="1:9" hidden="1" x14ac:dyDescent="0.2">
      <c r="A178" s="32"/>
      <c r="B178" s="32"/>
      <c r="C178" s="32"/>
      <c r="D178" s="32"/>
      <c r="E178" s="32"/>
      <c r="F178" s="32"/>
      <c r="G178" s="32"/>
      <c r="H178" s="32"/>
      <c r="I178" s="32"/>
    </row>
    <row r="179" spans="1:9" hidden="1" x14ac:dyDescent="0.2">
      <c r="A179" s="32"/>
      <c r="B179" s="32"/>
      <c r="C179" s="32"/>
      <c r="D179" s="32"/>
      <c r="E179" s="32"/>
      <c r="F179" s="32"/>
      <c r="G179" s="32"/>
      <c r="H179" s="32"/>
      <c r="I179" s="32"/>
    </row>
    <row r="180" spans="1:9" hidden="1" x14ac:dyDescent="0.2">
      <c r="A180" s="32"/>
      <c r="B180" s="32"/>
      <c r="C180" s="32"/>
      <c r="D180" s="32"/>
      <c r="E180" s="32"/>
      <c r="F180" s="32"/>
      <c r="G180" s="32"/>
      <c r="H180" s="32"/>
      <c r="I180" s="32"/>
    </row>
    <row r="181" spans="1:9" hidden="1" x14ac:dyDescent="0.2">
      <c r="A181" s="32"/>
      <c r="B181" s="32"/>
      <c r="C181" s="32"/>
      <c r="D181" s="32"/>
      <c r="E181" s="32"/>
      <c r="F181" s="32"/>
      <c r="G181" s="32"/>
      <c r="H181" s="32"/>
      <c r="I181" s="32"/>
    </row>
    <row r="182" spans="1:9" hidden="1" x14ac:dyDescent="0.2">
      <c r="A182" s="32"/>
      <c r="B182" s="32"/>
      <c r="C182" s="32"/>
      <c r="D182" s="32"/>
      <c r="E182" s="32"/>
      <c r="F182" s="32"/>
      <c r="G182" s="32"/>
      <c r="H182" s="32"/>
      <c r="I182" s="32"/>
    </row>
    <row r="183" spans="1:9" hidden="1" x14ac:dyDescent="0.2">
      <c r="A183" s="32"/>
      <c r="B183" s="32"/>
      <c r="C183" s="32"/>
      <c r="D183" s="32"/>
      <c r="E183" s="32"/>
      <c r="F183" s="32"/>
      <c r="G183" s="32"/>
      <c r="H183" s="32"/>
      <c r="I183" s="32"/>
    </row>
    <row r="184" spans="1:9" hidden="1" x14ac:dyDescent="0.2">
      <c r="A184" s="32"/>
      <c r="B184" s="32"/>
      <c r="C184" s="32"/>
      <c r="D184" s="32"/>
      <c r="E184" s="32"/>
      <c r="F184" s="32"/>
      <c r="G184" s="32"/>
      <c r="H184" s="32"/>
      <c r="I184" s="32"/>
    </row>
    <row r="185" spans="1:9" hidden="1" x14ac:dyDescent="0.2">
      <c r="A185" s="32"/>
      <c r="B185" s="32"/>
      <c r="C185" s="32"/>
      <c r="D185" s="32"/>
      <c r="E185" s="32"/>
      <c r="F185" s="32"/>
      <c r="G185" s="32"/>
      <c r="H185" s="32"/>
      <c r="I185" s="32"/>
    </row>
    <row r="186" spans="1:9" hidden="1" x14ac:dyDescent="0.2">
      <c r="A186" s="32"/>
      <c r="B186" s="32"/>
      <c r="C186" s="32"/>
      <c r="D186" s="32"/>
      <c r="E186" s="32"/>
      <c r="F186" s="32"/>
      <c r="G186" s="32"/>
      <c r="H186" s="32"/>
      <c r="I186" s="32"/>
    </row>
    <row r="187" spans="1:9" hidden="1" x14ac:dyDescent="0.2">
      <c r="A187" s="32"/>
      <c r="B187" s="32"/>
      <c r="C187" s="32"/>
      <c r="D187" s="32"/>
      <c r="E187" s="32"/>
      <c r="F187" s="32"/>
      <c r="G187" s="32"/>
      <c r="H187" s="32"/>
      <c r="I187" s="32"/>
    </row>
    <row r="188" spans="1:9" hidden="1" x14ac:dyDescent="0.2">
      <c r="A188" s="32"/>
      <c r="B188" s="32"/>
      <c r="C188" s="32"/>
      <c r="D188" s="32"/>
      <c r="E188" s="32"/>
      <c r="F188" s="32"/>
      <c r="G188" s="32"/>
      <c r="H188" s="32"/>
      <c r="I188" s="32"/>
    </row>
    <row r="189" spans="1:9" hidden="1" x14ac:dyDescent="0.2">
      <c r="A189" s="32"/>
      <c r="B189" s="32"/>
      <c r="C189" s="32"/>
      <c r="D189" s="32"/>
      <c r="E189" s="32"/>
      <c r="F189" s="32"/>
      <c r="G189" s="32"/>
      <c r="H189" s="32"/>
      <c r="I189" s="32"/>
    </row>
    <row r="190" spans="1:9" hidden="1" x14ac:dyDescent="0.2">
      <c r="A190" s="32"/>
      <c r="B190" s="32"/>
      <c r="C190" s="32"/>
      <c r="D190" s="32"/>
      <c r="E190" s="32"/>
      <c r="F190" s="32"/>
      <c r="G190" s="32"/>
      <c r="H190" s="32"/>
      <c r="I190" s="32"/>
    </row>
    <row r="191" spans="1:9" hidden="1" x14ac:dyDescent="0.2">
      <c r="A191" s="32"/>
      <c r="B191" s="32"/>
      <c r="C191" s="32"/>
      <c r="D191" s="32"/>
      <c r="E191" s="32"/>
      <c r="F191" s="32"/>
      <c r="G191" s="32"/>
      <c r="H191" s="32"/>
      <c r="I191" s="32"/>
    </row>
    <row r="192" spans="1:9" hidden="1" x14ac:dyDescent="0.2">
      <c r="A192" s="32"/>
      <c r="B192" s="32"/>
      <c r="C192" s="32"/>
      <c r="D192" s="32"/>
      <c r="E192" s="32"/>
      <c r="F192" s="32"/>
      <c r="G192" s="32"/>
      <c r="H192" s="32"/>
      <c r="I192" s="32"/>
    </row>
    <row r="193" spans="1:9" hidden="1" x14ac:dyDescent="0.2">
      <c r="A193" s="32"/>
      <c r="B193" s="32"/>
      <c r="C193" s="32"/>
      <c r="D193" s="32"/>
      <c r="E193" s="32"/>
      <c r="F193" s="32"/>
      <c r="G193" s="32"/>
      <c r="H193" s="32"/>
      <c r="I193" s="32"/>
    </row>
    <row r="194" spans="1:9" hidden="1" x14ac:dyDescent="0.2">
      <c r="A194" s="32"/>
      <c r="B194" s="32"/>
      <c r="C194" s="32"/>
      <c r="D194" s="32"/>
      <c r="E194" s="32"/>
      <c r="F194" s="32"/>
      <c r="G194" s="32"/>
      <c r="H194" s="32"/>
      <c r="I194" s="32"/>
    </row>
    <row r="195" spans="1:9" hidden="1" x14ac:dyDescent="0.2">
      <c r="A195" s="32"/>
      <c r="B195" s="32"/>
      <c r="C195" s="32"/>
      <c r="D195" s="32"/>
      <c r="E195" s="32"/>
      <c r="F195" s="32"/>
      <c r="G195" s="32"/>
      <c r="H195" s="32"/>
      <c r="I195" s="32"/>
    </row>
    <row r="196" spans="1:9" hidden="1" x14ac:dyDescent="0.2">
      <c r="A196" s="32"/>
      <c r="B196" s="32"/>
      <c r="C196" s="32"/>
      <c r="D196" s="32"/>
      <c r="E196" s="32"/>
      <c r="F196" s="32"/>
      <c r="G196" s="32"/>
      <c r="H196" s="32"/>
      <c r="I196" s="32"/>
    </row>
    <row r="197" spans="1:9" hidden="1" x14ac:dyDescent="0.2">
      <c r="A197" s="32"/>
      <c r="B197" s="32"/>
      <c r="C197" s="32"/>
      <c r="D197" s="32"/>
      <c r="E197" s="32"/>
      <c r="F197" s="32"/>
      <c r="G197" s="32"/>
      <c r="H197" s="32"/>
      <c r="I197" s="32"/>
    </row>
    <row r="198" spans="1:9" hidden="1" x14ac:dyDescent="0.2">
      <c r="A198" s="32"/>
      <c r="B198" s="32"/>
      <c r="C198" s="32"/>
      <c r="D198" s="32"/>
      <c r="E198" s="32"/>
      <c r="F198" s="32"/>
      <c r="G198" s="32"/>
      <c r="H198" s="32"/>
      <c r="I198" s="32"/>
    </row>
    <row r="199" spans="1:9" hidden="1" x14ac:dyDescent="0.2">
      <c r="A199" s="32"/>
      <c r="B199" s="32"/>
      <c r="C199" s="32"/>
      <c r="D199" s="32"/>
      <c r="E199" s="32"/>
      <c r="F199" s="32"/>
      <c r="G199" s="32"/>
      <c r="H199" s="32"/>
      <c r="I199" s="32"/>
    </row>
    <row r="200" spans="1:9" hidden="1" x14ac:dyDescent="0.2">
      <c r="A200" s="32"/>
      <c r="B200" s="32"/>
      <c r="C200" s="32"/>
      <c r="D200" s="32"/>
      <c r="E200" s="32"/>
      <c r="F200" s="32"/>
      <c r="G200" s="32"/>
      <c r="H200" s="32"/>
      <c r="I200" s="32"/>
    </row>
    <row r="201" spans="1:9" hidden="1" x14ac:dyDescent="0.2">
      <c r="A201" s="32"/>
      <c r="B201" s="32"/>
      <c r="C201" s="32"/>
      <c r="D201" s="32"/>
      <c r="E201" s="32"/>
      <c r="F201" s="32"/>
      <c r="G201" s="32"/>
      <c r="H201" s="32"/>
      <c r="I201" s="32"/>
    </row>
    <row r="202" spans="1:9" hidden="1" x14ac:dyDescent="0.2">
      <c r="A202" s="32"/>
      <c r="B202" s="32"/>
      <c r="C202" s="32"/>
      <c r="D202" s="32"/>
      <c r="E202" s="32"/>
      <c r="F202" s="32"/>
      <c r="G202" s="32"/>
      <c r="H202" s="32"/>
      <c r="I202" s="32"/>
    </row>
    <row r="203" spans="1:9" hidden="1" x14ac:dyDescent="0.2">
      <c r="A203" s="32"/>
      <c r="B203" s="32"/>
      <c r="C203" s="32"/>
      <c r="D203" s="32"/>
      <c r="E203" s="32"/>
      <c r="F203" s="32"/>
      <c r="G203" s="32"/>
      <c r="H203" s="32"/>
      <c r="I203" s="32"/>
    </row>
    <row r="204" spans="1:9" hidden="1" x14ac:dyDescent="0.2">
      <c r="A204" s="32"/>
      <c r="B204" s="32"/>
      <c r="C204" s="32"/>
      <c r="D204" s="32"/>
      <c r="E204" s="32"/>
      <c r="F204" s="32"/>
      <c r="G204" s="32"/>
      <c r="H204" s="32"/>
      <c r="I204" s="32"/>
    </row>
    <row r="205" spans="1:9" hidden="1" x14ac:dyDescent="0.2">
      <c r="A205" s="32"/>
      <c r="B205" s="32"/>
      <c r="C205" s="32"/>
      <c r="D205" s="32"/>
      <c r="E205" s="32"/>
      <c r="F205" s="32"/>
      <c r="G205" s="32"/>
      <c r="H205" s="32"/>
      <c r="I205" s="32"/>
    </row>
    <row r="206" spans="1:9" hidden="1" x14ac:dyDescent="0.2">
      <c r="A206" s="32"/>
      <c r="B206" s="32"/>
      <c r="C206" s="32"/>
      <c r="D206" s="32"/>
      <c r="E206" s="32"/>
      <c r="F206" s="32"/>
      <c r="G206" s="32"/>
      <c r="H206" s="32"/>
      <c r="I206" s="32"/>
    </row>
    <row r="207" spans="1:9" hidden="1" x14ac:dyDescent="0.2">
      <c r="A207" s="32"/>
      <c r="B207" s="32"/>
      <c r="C207" s="32"/>
      <c r="D207" s="32"/>
      <c r="E207" s="32"/>
      <c r="F207" s="32"/>
      <c r="G207" s="32"/>
      <c r="H207" s="32"/>
      <c r="I207" s="32"/>
    </row>
    <row r="208" spans="1:9" hidden="1" x14ac:dyDescent="0.2">
      <c r="A208" s="32"/>
      <c r="B208" s="32"/>
      <c r="C208" s="32"/>
      <c r="D208" s="32"/>
      <c r="E208" s="32"/>
      <c r="F208" s="32"/>
      <c r="G208" s="32"/>
      <c r="H208" s="32"/>
      <c r="I208" s="32"/>
    </row>
    <row r="209" spans="1:9" hidden="1" x14ac:dyDescent="0.2">
      <c r="A209" s="32"/>
      <c r="B209" s="32"/>
      <c r="C209" s="32"/>
      <c r="D209" s="32"/>
      <c r="E209" s="32"/>
      <c r="F209" s="32"/>
      <c r="G209" s="32"/>
      <c r="H209" s="32"/>
      <c r="I209" s="32"/>
    </row>
    <row r="210" spans="1:9" hidden="1" x14ac:dyDescent="0.2">
      <c r="A210" s="32"/>
      <c r="B210" s="32"/>
      <c r="C210" s="32"/>
      <c r="D210" s="32"/>
      <c r="E210" s="32"/>
      <c r="F210" s="32"/>
      <c r="G210" s="32"/>
      <c r="H210" s="32"/>
      <c r="I210" s="32"/>
    </row>
    <row r="211" spans="1:9" hidden="1" x14ac:dyDescent="0.2">
      <c r="A211" s="32"/>
      <c r="B211" s="32"/>
      <c r="C211" s="32"/>
      <c r="D211" s="32"/>
      <c r="E211" s="32"/>
      <c r="F211" s="32"/>
      <c r="G211" s="32"/>
      <c r="H211" s="32"/>
      <c r="I211" s="32"/>
    </row>
    <row r="212" spans="1:9" hidden="1" x14ac:dyDescent="0.2">
      <c r="A212" s="32"/>
      <c r="B212" s="32"/>
      <c r="C212" s="32"/>
      <c r="D212" s="32"/>
      <c r="E212" s="32"/>
      <c r="F212" s="32"/>
      <c r="G212" s="32"/>
      <c r="H212" s="32"/>
      <c r="I212" s="32"/>
    </row>
    <row r="213" spans="1:9" hidden="1" x14ac:dyDescent="0.2">
      <c r="A213" s="32"/>
      <c r="B213" s="32"/>
      <c r="C213" s="32"/>
      <c r="D213" s="32"/>
      <c r="E213" s="32"/>
      <c r="F213" s="32"/>
      <c r="G213" s="32"/>
      <c r="H213" s="32"/>
      <c r="I213" s="32"/>
    </row>
    <row r="214" spans="1:9" hidden="1" x14ac:dyDescent="0.2">
      <c r="A214" s="32"/>
      <c r="B214" s="32"/>
      <c r="C214" s="32"/>
      <c r="D214" s="32"/>
      <c r="E214" s="32"/>
      <c r="F214" s="32"/>
      <c r="G214" s="32"/>
      <c r="H214" s="32"/>
      <c r="I214" s="32"/>
    </row>
    <row r="215" spans="1:9" hidden="1" x14ac:dyDescent="0.2">
      <c r="A215" s="32"/>
      <c r="B215" s="32"/>
      <c r="C215" s="32"/>
      <c r="D215" s="32"/>
      <c r="E215" s="32"/>
      <c r="F215" s="32"/>
      <c r="G215" s="32"/>
      <c r="H215" s="32"/>
      <c r="I215" s="32"/>
    </row>
    <row r="216" spans="1:9" hidden="1" x14ac:dyDescent="0.2">
      <c r="A216" s="32"/>
      <c r="B216" s="32"/>
      <c r="C216" s="32"/>
      <c r="D216" s="32"/>
      <c r="E216" s="32"/>
      <c r="F216" s="32"/>
      <c r="G216" s="32"/>
      <c r="H216" s="32"/>
      <c r="I216" s="32"/>
    </row>
    <row r="217" spans="1:9" hidden="1" x14ac:dyDescent="0.2">
      <c r="A217" s="32"/>
      <c r="B217" s="32"/>
      <c r="C217" s="32"/>
      <c r="D217" s="32"/>
      <c r="E217" s="32"/>
      <c r="F217" s="32"/>
      <c r="G217" s="32"/>
      <c r="H217" s="32"/>
      <c r="I217" s="32"/>
    </row>
    <row r="218" spans="1:9" hidden="1" x14ac:dyDescent="0.2">
      <c r="A218" s="32"/>
      <c r="B218" s="32"/>
      <c r="C218" s="32"/>
      <c r="D218" s="32"/>
      <c r="E218" s="32"/>
      <c r="F218" s="32"/>
      <c r="G218" s="32"/>
      <c r="H218" s="32"/>
      <c r="I218" s="32"/>
    </row>
    <row r="219" spans="1:9" hidden="1" x14ac:dyDescent="0.2">
      <c r="A219" s="32"/>
      <c r="B219" s="32"/>
      <c r="C219" s="32"/>
      <c r="D219" s="32"/>
      <c r="E219" s="32"/>
      <c r="F219" s="32"/>
      <c r="G219" s="32"/>
      <c r="H219" s="32"/>
      <c r="I219" s="32"/>
    </row>
    <row r="220" spans="1:9" hidden="1" x14ac:dyDescent="0.2">
      <c r="A220" s="32"/>
      <c r="B220" s="32"/>
      <c r="C220" s="32"/>
      <c r="D220" s="32"/>
      <c r="E220" s="32"/>
      <c r="F220" s="32"/>
      <c r="G220" s="32"/>
      <c r="H220" s="32"/>
      <c r="I220" s="32"/>
    </row>
    <row r="221" spans="1:9" hidden="1" x14ac:dyDescent="0.2">
      <c r="A221" s="32"/>
      <c r="B221" s="32"/>
      <c r="C221" s="32"/>
      <c r="D221" s="32"/>
      <c r="E221" s="32"/>
      <c r="F221" s="32"/>
      <c r="G221" s="32"/>
      <c r="H221" s="32"/>
      <c r="I221" s="32"/>
    </row>
    <row r="222" spans="1:9" hidden="1" x14ac:dyDescent="0.2">
      <c r="A222" s="32"/>
      <c r="B222" s="32"/>
      <c r="C222" s="32"/>
      <c r="D222" s="32"/>
      <c r="E222" s="32"/>
      <c r="F222" s="32"/>
      <c r="G222" s="32"/>
      <c r="H222" s="32"/>
      <c r="I222" s="32"/>
    </row>
    <row r="223" spans="1:9" hidden="1" x14ac:dyDescent="0.2">
      <c r="A223" s="32"/>
      <c r="B223" s="32"/>
      <c r="C223" s="32"/>
      <c r="D223" s="32"/>
      <c r="E223" s="32"/>
      <c r="F223" s="32"/>
      <c r="G223" s="32"/>
      <c r="H223" s="32"/>
      <c r="I223" s="32"/>
    </row>
    <row r="224" spans="1:9" hidden="1" x14ac:dyDescent="0.2">
      <c r="A224" s="32"/>
      <c r="B224" s="32"/>
      <c r="C224" s="32"/>
      <c r="D224" s="32"/>
      <c r="E224" s="32"/>
      <c r="F224" s="32"/>
      <c r="G224" s="32"/>
      <c r="H224" s="32"/>
      <c r="I224" s="32"/>
    </row>
    <row r="225" spans="1:9" hidden="1" x14ac:dyDescent="0.2">
      <c r="A225" s="32"/>
      <c r="B225" s="32"/>
      <c r="C225" s="32"/>
      <c r="D225" s="32"/>
      <c r="E225" s="32"/>
      <c r="F225" s="32"/>
      <c r="G225" s="32"/>
      <c r="H225" s="32"/>
      <c r="I225" s="32"/>
    </row>
    <row r="226" spans="1:9" hidden="1" x14ac:dyDescent="0.2">
      <c r="A226" s="32"/>
      <c r="B226" s="32"/>
      <c r="C226" s="32"/>
      <c r="D226" s="32"/>
      <c r="E226" s="32"/>
      <c r="F226" s="32"/>
      <c r="G226" s="32"/>
      <c r="H226" s="32"/>
      <c r="I226" s="32"/>
    </row>
    <row r="227" spans="1:9" hidden="1" x14ac:dyDescent="0.2">
      <c r="A227" s="32"/>
      <c r="B227" s="32"/>
      <c r="C227" s="32"/>
      <c r="D227" s="32"/>
      <c r="E227" s="32"/>
      <c r="F227" s="32"/>
      <c r="G227" s="32"/>
      <c r="H227" s="32"/>
      <c r="I227" s="32"/>
    </row>
    <row r="228" spans="1:9" hidden="1" x14ac:dyDescent="0.2">
      <c r="A228" s="32"/>
      <c r="B228" s="32"/>
      <c r="C228" s="32"/>
      <c r="D228" s="32"/>
      <c r="E228" s="32"/>
      <c r="F228" s="32"/>
      <c r="G228" s="32"/>
      <c r="H228" s="32"/>
      <c r="I228" s="32"/>
    </row>
    <row r="229" spans="1:9" hidden="1" x14ac:dyDescent="0.2">
      <c r="A229" s="32"/>
      <c r="B229" s="32"/>
      <c r="C229" s="32"/>
      <c r="D229" s="32"/>
      <c r="E229" s="32"/>
      <c r="F229" s="32"/>
      <c r="G229" s="32"/>
      <c r="H229" s="32"/>
      <c r="I229" s="32"/>
    </row>
    <row r="230" spans="1:9" hidden="1" x14ac:dyDescent="0.2">
      <c r="A230" s="32"/>
      <c r="B230" s="32"/>
      <c r="C230" s="32"/>
      <c r="D230" s="32"/>
      <c r="E230" s="32"/>
      <c r="F230" s="32"/>
      <c r="G230" s="32"/>
      <c r="H230" s="32"/>
      <c r="I230" s="32"/>
    </row>
    <row r="231" spans="1:9" hidden="1" x14ac:dyDescent="0.2">
      <c r="A231" s="32"/>
      <c r="B231" s="32"/>
      <c r="C231" s="32"/>
      <c r="D231" s="32"/>
      <c r="E231" s="32"/>
      <c r="F231" s="32"/>
      <c r="G231" s="32"/>
      <c r="H231" s="32"/>
      <c r="I231" s="32"/>
    </row>
    <row r="232" spans="1:9" hidden="1" x14ac:dyDescent="0.2">
      <c r="A232" s="32"/>
      <c r="B232" s="32"/>
      <c r="C232" s="32"/>
      <c r="D232" s="32"/>
      <c r="E232" s="32"/>
      <c r="F232" s="32"/>
      <c r="G232" s="32"/>
      <c r="H232" s="32"/>
      <c r="I232" s="32"/>
    </row>
    <row r="233" spans="1:9" hidden="1" x14ac:dyDescent="0.2">
      <c r="A233" s="32"/>
      <c r="B233" s="32"/>
      <c r="C233" s="32"/>
      <c r="D233" s="32"/>
      <c r="E233" s="32"/>
      <c r="F233" s="32"/>
      <c r="G233" s="32"/>
      <c r="H233" s="32"/>
      <c r="I233" s="32"/>
    </row>
    <row r="234" spans="1:9" hidden="1" x14ac:dyDescent="0.2">
      <c r="A234" s="32"/>
      <c r="B234" s="32"/>
      <c r="C234" s="32"/>
      <c r="D234" s="32"/>
      <c r="E234" s="32"/>
      <c r="F234" s="32"/>
      <c r="G234" s="32"/>
      <c r="H234" s="32"/>
      <c r="I234" s="32"/>
    </row>
    <row r="235" spans="1:9" hidden="1" x14ac:dyDescent="0.2">
      <c r="A235" s="32"/>
      <c r="B235" s="32"/>
      <c r="C235" s="32"/>
      <c r="D235" s="32"/>
      <c r="E235" s="32"/>
      <c r="F235" s="32"/>
      <c r="G235" s="32"/>
      <c r="H235" s="32"/>
      <c r="I235" s="32"/>
    </row>
    <row r="236" spans="1:9" hidden="1" x14ac:dyDescent="0.2">
      <c r="A236" s="32"/>
      <c r="B236" s="32"/>
      <c r="C236" s="32"/>
      <c r="D236" s="32"/>
      <c r="E236" s="32"/>
      <c r="F236" s="32"/>
      <c r="G236" s="32"/>
      <c r="H236" s="32"/>
      <c r="I236" s="32"/>
    </row>
    <row r="237" spans="1:9" hidden="1" x14ac:dyDescent="0.2">
      <c r="A237" s="32"/>
      <c r="B237" s="32"/>
      <c r="C237" s="32"/>
      <c r="D237" s="32"/>
      <c r="E237" s="32"/>
      <c r="F237" s="32"/>
      <c r="G237" s="32"/>
      <c r="H237" s="32"/>
      <c r="I237" s="32"/>
    </row>
    <row r="238" spans="1:9" hidden="1" x14ac:dyDescent="0.2">
      <c r="A238" s="32"/>
      <c r="B238" s="32"/>
      <c r="C238" s="32"/>
      <c r="D238" s="32"/>
      <c r="E238" s="32"/>
      <c r="F238" s="32"/>
      <c r="G238" s="32"/>
      <c r="H238" s="32"/>
      <c r="I238" s="32"/>
    </row>
    <row r="239" spans="1:9" hidden="1" x14ac:dyDescent="0.2">
      <c r="A239" s="32"/>
      <c r="B239" s="32"/>
      <c r="C239" s="32"/>
      <c r="D239" s="32"/>
      <c r="E239" s="32"/>
      <c r="F239" s="32"/>
      <c r="G239" s="32"/>
      <c r="H239" s="32"/>
      <c r="I239" s="32"/>
    </row>
    <row r="240" spans="1:9" hidden="1" x14ac:dyDescent="0.2">
      <c r="A240" s="32"/>
      <c r="B240" s="32"/>
      <c r="C240" s="32"/>
      <c r="D240" s="32"/>
      <c r="E240" s="32"/>
      <c r="F240" s="32"/>
      <c r="G240" s="32"/>
      <c r="H240" s="32"/>
      <c r="I240" s="32"/>
    </row>
    <row r="241" spans="1:9" hidden="1" x14ac:dyDescent="0.2">
      <c r="A241" s="32"/>
      <c r="B241" s="32"/>
      <c r="C241" s="32"/>
      <c r="D241" s="32"/>
      <c r="E241" s="32"/>
      <c r="F241" s="32"/>
      <c r="G241" s="32"/>
      <c r="H241" s="32"/>
      <c r="I241" s="32"/>
    </row>
    <row r="242" spans="1:9" hidden="1" x14ac:dyDescent="0.2">
      <c r="A242" s="32"/>
      <c r="B242" s="32"/>
      <c r="C242" s="32"/>
      <c r="D242" s="32"/>
      <c r="E242" s="32"/>
      <c r="F242" s="32"/>
      <c r="G242" s="32"/>
      <c r="H242" s="32"/>
      <c r="I242" s="32"/>
    </row>
    <row r="243" spans="1:9" hidden="1" x14ac:dyDescent="0.2">
      <c r="A243" s="32"/>
      <c r="B243" s="32"/>
      <c r="C243" s="32"/>
      <c r="D243" s="32"/>
      <c r="E243" s="32"/>
      <c r="F243" s="32"/>
      <c r="G243" s="32"/>
      <c r="H243" s="32"/>
      <c r="I243" s="32"/>
    </row>
    <row r="244" spans="1:9" hidden="1" x14ac:dyDescent="0.2">
      <c r="A244" s="32"/>
      <c r="B244" s="32"/>
      <c r="C244" s="32"/>
      <c r="D244" s="32"/>
      <c r="E244" s="32"/>
      <c r="F244" s="32"/>
      <c r="G244" s="32"/>
      <c r="H244" s="32"/>
      <c r="I244" s="32"/>
    </row>
    <row r="245" spans="1:9" hidden="1" x14ac:dyDescent="0.2">
      <c r="A245" s="32"/>
      <c r="B245" s="32"/>
      <c r="C245" s="32"/>
      <c r="D245" s="32"/>
      <c r="E245" s="32"/>
      <c r="F245" s="32"/>
      <c r="G245" s="32"/>
      <c r="H245" s="32"/>
      <c r="I245" s="32"/>
    </row>
    <row r="246" spans="1:9" hidden="1" x14ac:dyDescent="0.2">
      <c r="A246" s="32"/>
      <c r="B246" s="32"/>
      <c r="C246" s="32"/>
      <c r="D246" s="32"/>
      <c r="E246" s="32"/>
      <c r="F246" s="32"/>
      <c r="G246" s="32"/>
      <c r="H246" s="32"/>
      <c r="I246" s="32"/>
    </row>
    <row r="247" spans="1:9" hidden="1" x14ac:dyDescent="0.2">
      <c r="A247" s="32"/>
      <c r="B247" s="32"/>
      <c r="C247" s="32"/>
      <c r="D247" s="32"/>
      <c r="E247" s="32"/>
      <c r="F247" s="32"/>
      <c r="G247" s="32"/>
      <c r="H247" s="32"/>
      <c r="I247" s="32"/>
    </row>
    <row r="248" spans="1:9" hidden="1" x14ac:dyDescent="0.2">
      <c r="A248" s="32"/>
      <c r="B248" s="32"/>
      <c r="C248" s="32"/>
      <c r="D248" s="32"/>
      <c r="E248" s="32"/>
      <c r="F248" s="32"/>
      <c r="G248" s="32"/>
      <c r="H248" s="32"/>
      <c r="I248" s="32"/>
    </row>
    <row r="249" spans="1:9" hidden="1" x14ac:dyDescent="0.2">
      <c r="A249" s="32"/>
      <c r="B249" s="32"/>
      <c r="C249" s="32"/>
      <c r="D249" s="32"/>
      <c r="E249" s="32"/>
      <c r="F249" s="32"/>
      <c r="G249" s="32"/>
      <c r="H249" s="32"/>
      <c r="I249" s="32"/>
    </row>
    <row r="250" spans="1:9" hidden="1" x14ac:dyDescent="0.2">
      <c r="A250" s="32"/>
      <c r="B250" s="32"/>
      <c r="C250" s="32"/>
      <c r="D250" s="32"/>
      <c r="E250" s="32"/>
      <c r="F250" s="32"/>
      <c r="G250" s="32"/>
      <c r="H250" s="32"/>
      <c r="I250" s="32"/>
    </row>
    <row r="251" spans="1:9" hidden="1" x14ac:dyDescent="0.2">
      <c r="A251" s="32"/>
      <c r="B251" s="32"/>
      <c r="C251" s="32"/>
      <c r="D251" s="32"/>
      <c r="E251" s="32"/>
      <c r="F251" s="32"/>
      <c r="G251" s="32"/>
      <c r="H251" s="32"/>
      <c r="I251" s="32"/>
    </row>
    <row r="252" spans="1:9" hidden="1" x14ac:dyDescent="0.2">
      <c r="A252" s="32"/>
      <c r="B252" s="32"/>
      <c r="C252" s="32"/>
      <c r="D252" s="32"/>
      <c r="E252" s="32"/>
      <c r="F252" s="32"/>
      <c r="G252" s="32"/>
      <c r="H252" s="32"/>
      <c r="I252" s="32"/>
    </row>
    <row r="253" spans="1:9" hidden="1" x14ac:dyDescent="0.2">
      <c r="A253" s="32"/>
      <c r="B253" s="32"/>
      <c r="C253" s="32"/>
      <c r="D253" s="32"/>
      <c r="E253" s="32"/>
      <c r="F253" s="32"/>
      <c r="G253" s="32"/>
      <c r="H253" s="32"/>
      <c r="I253" s="32"/>
    </row>
    <row r="254" spans="1:9" hidden="1" x14ac:dyDescent="0.2">
      <c r="A254" s="32"/>
      <c r="B254" s="32"/>
      <c r="C254" s="32"/>
      <c r="D254" s="32"/>
      <c r="E254" s="32"/>
      <c r="F254" s="32"/>
      <c r="G254" s="32"/>
      <c r="H254" s="32"/>
      <c r="I254" s="32"/>
    </row>
    <row r="255" spans="1:9" hidden="1" x14ac:dyDescent="0.2">
      <c r="A255" s="32"/>
      <c r="B255" s="32"/>
      <c r="C255" s="32"/>
      <c r="D255" s="32"/>
      <c r="E255" s="32"/>
      <c r="F255" s="32"/>
      <c r="G255" s="32"/>
      <c r="H255" s="32"/>
      <c r="I255" s="32"/>
    </row>
    <row r="256" spans="1:9" hidden="1" x14ac:dyDescent="0.2">
      <c r="A256" s="32"/>
      <c r="B256" s="32"/>
      <c r="C256" s="32"/>
      <c r="D256" s="32"/>
      <c r="E256" s="32"/>
      <c r="F256" s="32"/>
      <c r="G256" s="32"/>
      <c r="H256" s="32"/>
      <c r="I256" s="32"/>
    </row>
    <row r="257" spans="1:9" hidden="1" x14ac:dyDescent="0.2">
      <c r="A257" s="32"/>
      <c r="B257" s="32"/>
      <c r="C257" s="32"/>
      <c r="D257" s="32"/>
      <c r="E257" s="32"/>
      <c r="F257" s="32"/>
      <c r="G257" s="32"/>
      <c r="H257" s="32"/>
      <c r="I257" s="32"/>
    </row>
    <row r="258" spans="1:9" hidden="1" x14ac:dyDescent="0.2">
      <c r="A258" s="32"/>
      <c r="B258" s="32"/>
      <c r="C258" s="32"/>
      <c r="D258" s="32"/>
      <c r="E258" s="32"/>
      <c r="F258" s="32"/>
      <c r="G258" s="32"/>
      <c r="H258" s="32"/>
      <c r="I258" s="32"/>
    </row>
    <row r="259" spans="1:9" hidden="1" x14ac:dyDescent="0.2">
      <c r="A259" s="32"/>
      <c r="B259" s="32"/>
      <c r="C259" s="32"/>
      <c r="D259" s="32"/>
      <c r="E259" s="32"/>
      <c r="F259" s="32"/>
      <c r="G259" s="32"/>
      <c r="H259" s="32"/>
      <c r="I259" s="32"/>
    </row>
    <row r="260" spans="1:9" hidden="1" x14ac:dyDescent="0.2">
      <c r="A260" s="32"/>
      <c r="B260" s="32"/>
      <c r="C260" s="32"/>
      <c r="D260" s="32"/>
      <c r="E260" s="32"/>
      <c r="F260" s="32"/>
      <c r="G260" s="32"/>
      <c r="H260" s="32"/>
      <c r="I260" s="32"/>
    </row>
    <row r="261" spans="1:9" hidden="1" x14ac:dyDescent="0.2">
      <c r="A261" s="32"/>
      <c r="B261" s="32"/>
      <c r="C261" s="32"/>
      <c r="D261" s="32"/>
      <c r="E261" s="32"/>
      <c r="F261" s="32"/>
      <c r="G261" s="32"/>
      <c r="H261" s="32"/>
      <c r="I261" s="32"/>
    </row>
    <row r="262" spans="1:9" hidden="1" x14ac:dyDescent="0.2">
      <c r="A262" s="32"/>
      <c r="B262" s="32"/>
      <c r="C262" s="32"/>
      <c r="D262" s="32"/>
      <c r="E262" s="32"/>
      <c r="F262" s="32"/>
      <c r="G262" s="32"/>
      <c r="H262" s="32"/>
      <c r="I262" s="32"/>
    </row>
    <row r="263" spans="1:9" hidden="1" x14ac:dyDescent="0.2">
      <c r="A263" s="32"/>
      <c r="B263" s="32"/>
      <c r="C263" s="32"/>
      <c r="D263" s="32"/>
      <c r="E263" s="32"/>
      <c r="F263" s="32"/>
      <c r="G263" s="32"/>
      <c r="H263" s="32"/>
      <c r="I263" s="32"/>
    </row>
    <row r="264" spans="1:9" hidden="1" x14ac:dyDescent="0.2">
      <c r="A264" s="32"/>
      <c r="B264" s="32"/>
      <c r="C264" s="32"/>
      <c r="D264" s="32"/>
      <c r="E264" s="32"/>
      <c r="F264" s="32"/>
      <c r="G264" s="32"/>
      <c r="H264" s="32"/>
      <c r="I264" s="32"/>
    </row>
    <row r="265" spans="1:9" hidden="1" x14ac:dyDescent="0.2">
      <c r="A265" s="32"/>
      <c r="B265" s="32"/>
      <c r="C265" s="32"/>
      <c r="D265" s="32"/>
      <c r="E265" s="32"/>
      <c r="F265" s="32"/>
      <c r="G265" s="32"/>
      <c r="H265" s="32"/>
      <c r="I265" s="32"/>
    </row>
    <row r="266" spans="1:9" hidden="1" x14ac:dyDescent="0.2">
      <c r="A266" s="32"/>
      <c r="B266" s="32"/>
      <c r="C266" s="32"/>
      <c r="D266" s="32"/>
      <c r="E266" s="32"/>
      <c r="F266" s="32"/>
      <c r="G266" s="32"/>
      <c r="H266" s="32"/>
      <c r="I266" s="32"/>
    </row>
    <row r="267" spans="1:9" hidden="1" x14ac:dyDescent="0.2">
      <c r="A267" s="32"/>
      <c r="B267" s="32"/>
      <c r="C267" s="32"/>
      <c r="D267" s="32"/>
      <c r="E267" s="32"/>
      <c r="F267" s="32"/>
      <c r="G267" s="32"/>
      <c r="H267" s="32"/>
      <c r="I267" s="32"/>
    </row>
    <row r="268" spans="1:9" hidden="1" x14ac:dyDescent="0.2">
      <c r="A268" s="32"/>
      <c r="B268" s="32"/>
      <c r="C268" s="32"/>
      <c r="D268" s="32"/>
      <c r="E268" s="32"/>
      <c r="F268" s="32"/>
      <c r="G268" s="32"/>
      <c r="H268" s="32"/>
      <c r="I268" s="32"/>
    </row>
    <row r="269" spans="1:9" hidden="1" x14ac:dyDescent="0.2">
      <c r="A269" s="32"/>
      <c r="B269" s="32"/>
      <c r="C269" s="32"/>
      <c r="D269" s="32"/>
      <c r="E269" s="32"/>
      <c r="F269" s="32"/>
      <c r="G269" s="32"/>
      <c r="H269" s="32"/>
      <c r="I269" s="32"/>
    </row>
    <row r="270" spans="1:9" hidden="1" x14ac:dyDescent="0.2">
      <c r="A270" s="32"/>
      <c r="B270" s="32"/>
      <c r="C270" s="32"/>
      <c r="D270" s="32"/>
      <c r="E270" s="32"/>
      <c r="F270" s="32"/>
      <c r="G270" s="32"/>
      <c r="H270" s="32"/>
      <c r="I270" s="32"/>
    </row>
    <row r="271" spans="1:9" hidden="1" x14ac:dyDescent="0.2">
      <c r="A271" s="32"/>
      <c r="B271" s="32"/>
      <c r="C271" s="32"/>
      <c r="D271" s="32"/>
      <c r="E271" s="32"/>
      <c r="F271" s="32"/>
      <c r="G271" s="32"/>
      <c r="H271" s="32"/>
      <c r="I271" s="32"/>
    </row>
    <row r="272" spans="1:9" hidden="1" x14ac:dyDescent="0.2">
      <c r="A272" s="32"/>
      <c r="B272" s="32"/>
      <c r="C272" s="32"/>
      <c r="D272" s="32"/>
      <c r="E272" s="32"/>
      <c r="F272" s="32"/>
      <c r="G272" s="32"/>
      <c r="H272" s="32"/>
      <c r="I272" s="32"/>
    </row>
    <row r="273" spans="1:9" hidden="1" x14ac:dyDescent="0.2">
      <c r="A273" s="32"/>
      <c r="B273" s="32"/>
      <c r="C273" s="32"/>
      <c r="D273" s="32"/>
      <c r="E273" s="32"/>
      <c r="F273" s="32"/>
      <c r="G273" s="32"/>
      <c r="H273" s="32"/>
      <c r="I273" s="32"/>
    </row>
    <row r="274" spans="1:9" hidden="1" x14ac:dyDescent="0.2">
      <c r="A274" s="32"/>
      <c r="B274" s="32"/>
      <c r="C274" s="32"/>
      <c r="D274" s="32"/>
      <c r="E274" s="32"/>
      <c r="F274" s="32"/>
      <c r="G274" s="32"/>
      <c r="H274" s="32"/>
      <c r="I274" s="32"/>
    </row>
    <row r="275" spans="1:9" hidden="1" x14ac:dyDescent="0.2">
      <c r="A275" s="32"/>
      <c r="B275" s="32"/>
      <c r="C275" s="32"/>
      <c r="D275" s="32"/>
      <c r="E275" s="32"/>
      <c r="F275" s="32"/>
      <c r="G275" s="32"/>
      <c r="H275" s="32"/>
      <c r="I275" s="32"/>
    </row>
    <row r="276" spans="1:9" hidden="1" x14ac:dyDescent="0.2">
      <c r="A276" s="32"/>
      <c r="B276" s="32"/>
      <c r="C276" s="32"/>
      <c r="D276" s="32"/>
      <c r="E276" s="32"/>
      <c r="F276" s="32"/>
      <c r="G276" s="32"/>
      <c r="H276" s="32"/>
      <c r="I276" s="32"/>
    </row>
    <row r="277" spans="1:9" hidden="1" x14ac:dyDescent="0.2">
      <c r="A277" s="32"/>
      <c r="B277" s="32"/>
      <c r="C277" s="32"/>
      <c r="D277" s="32"/>
      <c r="E277" s="32"/>
      <c r="F277" s="32"/>
      <c r="G277" s="32"/>
      <c r="H277" s="32"/>
      <c r="I277" s="32"/>
    </row>
    <row r="278" spans="1:9" hidden="1" x14ac:dyDescent="0.2">
      <c r="A278" s="32"/>
      <c r="B278" s="32"/>
      <c r="C278" s="32"/>
      <c r="D278" s="32"/>
      <c r="E278" s="32"/>
      <c r="F278" s="32"/>
      <c r="G278" s="32"/>
      <c r="H278" s="32"/>
      <c r="I278" s="32"/>
    </row>
    <row r="279" spans="1:9" hidden="1" x14ac:dyDescent="0.2">
      <c r="A279" s="32"/>
      <c r="B279" s="32"/>
      <c r="C279" s="32"/>
      <c r="D279" s="32"/>
      <c r="E279" s="32"/>
      <c r="F279" s="32"/>
      <c r="G279" s="32"/>
      <c r="H279" s="32"/>
      <c r="I279" s="32"/>
    </row>
    <row r="280" spans="1:9" hidden="1" x14ac:dyDescent="0.2">
      <c r="A280" s="32"/>
      <c r="B280" s="32"/>
      <c r="C280" s="32"/>
      <c r="D280" s="32"/>
      <c r="E280" s="32"/>
      <c r="F280" s="32"/>
      <c r="G280" s="32"/>
      <c r="H280" s="32"/>
      <c r="I280" s="32"/>
    </row>
    <row r="281" spans="1:9" hidden="1" x14ac:dyDescent="0.2">
      <c r="A281" s="32"/>
      <c r="B281" s="32"/>
      <c r="C281" s="32"/>
      <c r="D281" s="32"/>
      <c r="E281" s="32"/>
      <c r="F281" s="32"/>
      <c r="G281" s="32"/>
      <c r="H281" s="32"/>
      <c r="I281" s="32"/>
    </row>
    <row r="282" spans="1:9" hidden="1" x14ac:dyDescent="0.2">
      <c r="A282" s="32"/>
      <c r="B282" s="32"/>
      <c r="C282" s="32"/>
      <c r="D282" s="32"/>
      <c r="E282" s="32"/>
      <c r="F282" s="32"/>
      <c r="G282" s="32"/>
      <c r="H282" s="32"/>
      <c r="I282" s="32"/>
    </row>
    <row r="283" spans="1:9" hidden="1" x14ac:dyDescent="0.2">
      <c r="A283" s="32"/>
      <c r="B283" s="32"/>
      <c r="C283" s="32"/>
      <c r="D283" s="32"/>
      <c r="E283" s="32"/>
      <c r="F283" s="32"/>
      <c r="G283" s="32"/>
      <c r="H283" s="32"/>
      <c r="I283" s="32"/>
    </row>
    <row r="284" spans="1:9" hidden="1" x14ac:dyDescent="0.2">
      <c r="A284" s="32"/>
      <c r="B284" s="32"/>
      <c r="C284" s="32"/>
      <c r="D284" s="32"/>
      <c r="E284" s="32"/>
      <c r="F284" s="32"/>
      <c r="G284" s="32"/>
      <c r="H284" s="32"/>
      <c r="I284" s="32"/>
    </row>
    <row r="285" spans="1:9" hidden="1" x14ac:dyDescent="0.2">
      <c r="A285" s="32"/>
      <c r="B285" s="32"/>
      <c r="C285" s="32"/>
      <c r="D285" s="32"/>
      <c r="E285" s="32"/>
      <c r="F285" s="32"/>
      <c r="G285" s="32"/>
      <c r="H285" s="32"/>
      <c r="I285" s="32"/>
    </row>
    <row r="286" spans="1:9" hidden="1" x14ac:dyDescent="0.2">
      <c r="A286" s="32"/>
      <c r="B286" s="32"/>
      <c r="C286" s="32"/>
      <c r="D286" s="32"/>
      <c r="E286" s="32"/>
      <c r="F286" s="32"/>
      <c r="G286" s="32"/>
      <c r="H286" s="32"/>
      <c r="I286" s="32"/>
    </row>
    <row r="287" spans="1:9" hidden="1" x14ac:dyDescent="0.2">
      <c r="A287" s="32"/>
      <c r="B287" s="32"/>
      <c r="C287" s="32"/>
      <c r="D287" s="32"/>
      <c r="E287" s="32"/>
      <c r="F287" s="32"/>
      <c r="G287" s="32"/>
      <c r="H287" s="32"/>
      <c r="I287" s="32"/>
    </row>
    <row r="288" spans="1:9" hidden="1" x14ac:dyDescent="0.2">
      <c r="A288" s="32"/>
      <c r="B288" s="32"/>
      <c r="C288" s="32"/>
      <c r="D288" s="32"/>
      <c r="E288" s="32"/>
      <c r="F288" s="32"/>
      <c r="G288" s="32"/>
      <c r="H288" s="32"/>
      <c r="I288" s="32"/>
    </row>
    <row r="289" spans="1:9" hidden="1" x14ac:dyDescent="0.2">
      <c r="A289" s="32"/>
      <c r="B289" s="32"/>
      <c r="C289" s="32"/>
      <c r="D289" s="32"/>
      <c r="E289" s="32"/>
      <c r="F289" s="32"/>
      <c r="G289" s="32"/>
      <c r="H289" s="32"/>
      <c r="I289" s="32"/>
    </row>
    <row r="290" spans="1:9" hidden="1" x14ac:dyDescent="0.2">
      <c r="A290" s="32"/>
      <c r="B290" s="32"/>
      <c r="C290" s="32"/>
      <c r="D290" s="32"/>
      <c r="E290" s="32"/>
      <c r="F290" s="32"/>
      <c r="G290" s="32"/>
      <c r="H290" s="32"/>
      <c r="I290" s="32"/>
    </row>
    <row r="291" spans="1:9" hidden="1" x14ac:dyDescent="0.2">
      <c r="A291" s="32"/>
      <c r="B291" s="32"/>
      <c r="C291" s="32"/>
      <c r="D291" s="32"/>
      <c r="E291" s="32"/>
      <c r="F291" s="32"/>
      <c r="G291" s="32"/>
      <c r="H291" s="32"/>
      <c r="I291" s="32"/>
    </row>
    <row r="292" spans="1:9" hidden="1" x14ac:dyDescent="0.2">
      <c r="A292" s="32"/>
      <c r="B292" s="32"/>
      <c r="C292" s="32"/>
      <c r="D292" s="32"/>
      <c r="E292" s="32"/>
      <c r="F292" s="32"/>
      <c r="G292" s="32"/>
      <c r="H292" s="32"/>
      <c r="I292" s="32"/>
    </row>
    <row r="293" spans="1:9" hidden="1" x14ac:dyDescent="0.2">
      <c r="A293" s="32"/>
      <c r="B293" s="32"/>
      <c r="C293" s="32"/>
      <c r="D293" s="32"/>
      <c r="E293" s="32"/>
      <c r="F293" s="32"/>
      <c r="G293" s="32"/>
      <c r="H293" s="32"/>
      <c r="I293" s="32"/>
    </row>
    <row r="294" spans="1:9" hidden="1" x14ac:dyDescent="0.2">
      <c r="A294" s="32"/>
      <c r="B294" s="32"/>
      <c r="C294" s="32"/>
      <c r="D294" s="32"/>
      <c r="E294" s="32"/>
      <c r="F294" s="32"/>
      <c r="G294" s="32"/>
      <c r="H294" s="32"/>
      <c r="I294" s="32"/>
    </row>
    <row r="295" spans="1:9" hidden="1" x14ac:dyDescent="0.2">
      <c r="A295" s="32"/>
      <c r="B295" s="32"/>
      <c r="C295" s="32"/>
      <c r="D295" s="32"/>
      <c r="E295" s="32"/>
      <c r="F295" s="32"/>
      <c r="G295" s="32"/>
      <c r="H295" s="32"/>
      <c r="I295" s="32"/>
    </row>
    <row r="296" spans="1:9" hidden="1" x14ac:dyDescent="0.2">
      <c r="A296" s="32"/>
      <c r="B296" s="32"/>
      <c r="C296" s="32"/>
      <c r="D296" s="32"/>
      <c r="E296" s="32"/>
      <c r="F296" s="32"/>
      <c r="G296" s="32"/>
      <c r="H296" s="32"/>
      <c r="I296" s="32"/>
    </row>
    <row r="297" spans="1:9" hidden="1" x14ac:dyDescent="0.2">
      <c r="A297" s="32"/>
      <c r="B297" s="32"/>
      <c r="C297" s="32"/>
      <c r="D297" s="32"/>
      <c r="E297" s="32"/>
      <c r="F297" s="32"/>
      <c r="G297" s="32"/>
      <c r="H297" s="32"/>
      <c r="I297" s="32"/>
    </row>
    <row r="298" spans="1:9" x14ac:dyDescent="0.2">
      <c r="A298" s="32"/>
      <c r="B298" s="32"/>
      <c r="C298" s="32"/>
      <c r="D298" s="32"/>
      <c r="E298" s="32"/>
      <c r="F298" s="32"/>
      <c r="G298" s="32"/>
      <c r="H298" s="32"/>
      <c r="I298" s="32"/>
    </row>
    <row r="299" spans="1:9" x14ac:dyDescent="0.2">
      <c r="A299" s="32"/>
      <c r="B299" s="32"/>
      <c r="C299" s="278" t="s">
        <v>190</v>
      </c>
      <c r="D299" s="32"/>
      <c r="E299" s="32"/>
      <c r="F299" s="32"/>
      <c r="G299" s="32"/>
      <c r="H299" s="32"/>
      <c r="I299" s="32"/>
    </row>
    <row r="300" spans="1:9" x14ac:dyDescent="0.2">
      <c r="A300" s="182">
        <v>1</v>
      </c>
      <c r="B300" s="589" t="str">
        <f>IFERROR(INDEX(H$100:H$300,MATCH(A300&amp;". koht",H$101:H$301,0)),"")</f>
        <v>Ivar Viljaste, Kristo Viljaste</v>
      </c>
      <c r="C300" s="55">
        <v>40</v>
      </c>
      <c r="F300" s="32"/>
      <c r="G300" s="32"/>
      <c r="H300" s="188"/>
      <c r="I300" s="32"/>
    </row>
    <row r="301" spans="1:9" x14ac:dyDescent="0.2">
      <c r="A301" s="182">
        <v>2</v>
      </c>
      <c r="B301" s="590" t="str">
        <f t="shared" ref="B301:B308" si="2">IFERROR(INDEX(H$100:H$300,MATCH(A301&amp;". koht",H$101:H$301,0)),"")</f>
        <v>Mait Metsla, Matti Vinni</v>
      </c>
      <c r="C301" s="55">
        <v>34</v>
      </c>
      <c r="F301" s="32"/>
      <c r="G301" s="32"/>
      <c r="H301" s="32"/>
      <c r="I301" s="32"/>
    </row>
    <row r="302" spans="1:9" x14ac:dyDescent="0.2">
      <c r="A302" s="182">
        <v>3</v>
      </c>
      <c r="B302" s="591" t="str">
        <f t="shared" si="2"/>
        <v>Kenneth Muusikus, Oleg Rõndenkov</v>
      </c>
      <c r="C302" s="55">
        <v>30</v>
      </c>
      <c r="F302" s="32"/>
      <c r="G302" s="32"/>
      <c r="H302" s="32"/>
      <c r="I302" s="32"/>
    </row>
    <row r="303" spans="1:9" x14ac:dyDescent="0.2">
      <c r="A303" s="182">
        <v>4</v>
      </c>
      <c r="B303" s="175" t="str">
        <f t="shared" si="2"/>
        <v>Elmo Lageda, Tõnu Piik</v>
      </c>
      <c r="C303" s="55">
        <v>26</v>
      </c>
      <c r="F303" s="32"/>
      <c r="G303" s="32"/>
      <c r="H303" s="32"/>
      <c r="I303" s="32"/>
    </row>
    <row r="304" spans="1:9" x14ac:dyDescent="0.2">
      <c r="A304" s="182">
        <v>5</v>
      </c>
      <c r="B304" s="175" t="str">
        <f t="shared" si="2"/>
        <v>Aarne Välja, Janek Tarto</v>
      </c>
      <c r="C304" s="32">
        <v>24</v>
      </c>
      <c r="F304" s="32"/>
      <c r="G304" s="32"/>
      <c r="H304" s="32"/>
      <c r="I304" s="32"/>
    </row>
    <row r="305" spans="1:9" x14ac:dyDescent="0.2">
      <c r="A305" s="182">
        <v>6</v>
      </c>
      <c r="B305" s="175" t="str">
        <f t="shared" si="2"/>
        <v>Argo Sepp, Emil Murzajev</v>
      </c>
      <c r="C305" s="32">
        <v>22</v>
      </c>
      <c r="F305" s="32"/>
      <c r="G305" s="32"/>
      <c r="H305" s="32"/>
      <c r="I305" s="32"/>
    </row>
    <row r="306" spans="1:9" x14ac:dyDescent="0.2">
      <c r="A306" s="182">
        <v>7</v>
      </c>
      <c r="B306" s="175" t="str">
        <f t="shared" si="2"/>
        <v>Jaan Sepp, Oskar Sepp</v>
      </c>
      <c r="C306" s="32">
        <v>20</v>
      </c>
      <c r="F306" s="32"/>
      <c r="G306" s="32"/>
      <c r="H306" s="32"/>
      <c r="I306" s="32"/>
    </row>
    <row r="307" spans="1:9" x14ac:dyDescent="0.2">
      <c r="A307" s="182">
        <v>8</v>
      </c>
      <c r="B307" s="175" t="str">
        <f t="shared" si="2"/>
        <v>Tõnu Kapper, Vladimir Ogneštšikov</v>
      </c>
      <c r="C307" s="32">
        <v>18</v>
      </c>
      <c r="F307" s="32"/>
      <c r="G307" s="32"/>
      <c r="H307" s="32"/>
      <c r="I307" s="32"/>
    </row>
    <row r="308" spans="1:9" x14ac:dyDescent="0.2">
      <c r="A308" s="182">
        <v>9</v>
      </c>
      <c r="B308" s="175" t="str">
        <f t="shared" si="2"/>
        <v>Andrei Grintšak, Daniil Alekankin</v>
      </c>
      <c r="C308" s="32">
        <v>16</v>
      </c>
      <c r="F308" s="32"/>
      <c r="G308" s="32"/>
      <c r="H308" s="32"/>
      <c r="I308" s="32"/>
    </row>
  </sheetData>
  <conditionalFormatting sqref="C29">
    <cfRule type="aboveAverage" dxfId="3119" priority="206"/>
  </conditionalFormatting>
  <conditionalFormatting sqref="E29">
    <cfRule type="aboveAverage" dxfId="3118" priority="205"/>
  </conditionalFormatting>
  <conditionalFormatting sqref="F29">
    <cfRule type="aboveAverage" dxfId="3117" priority="204"/>
  </conditionalFormatting>
  <conditionalFormatting sqref="G29">
    <cfRule type="aboveAverage" dxfId="3116" priority="203"/>
  </conditionalFormatting>
  <conditionalFormatting sqref="H18">
    <cfRule type="expression" dxfId="3115" priority="210">
      <formula>AND(#REF!=1,IF(COUNTIF(#REF!,"=1")&gt;=2,TRUE))</formula>
    </cfRule>
    <cfRule type="expression" dxfId="3114" priority="211">
      <formula>AND(#REF!=3,IF(COUNTIF(#REF!,"=3")&gt;=2,TRUE))</formula>
    </cfRule>
    <cfRule type="expression" dxfId="3113" priority="212">
      <formula>AND(#REF!=2,IF(COUNTIF(#REF!,"=2")&gt;=2,TRUE))</formula>
    </cfRule>
  </conditionalFormatting>
  <conditionalFormatting sqref="H21:H25">
    <cfRule type="expression" dxfId="3112" priority="213">
      <formula>AND(#REF!=1,IF(COUNTIF(#REF!,"=1")&gt;=2,TRUE))</formula>
    </cfRule>
    <cfRule type="expression" dxfId="3111" priority="214">
      <formula>AND(#REF!=3,IF(COUNTIF(#REF!,"=3")&gt;=2,TRUE))</formula>
    </cfRule>
    <cfRule type="expression" dxfId="3110" priority="215">
      <formula>AND(#REF!=2,IF(COUNTIF(#REF!,"=2")&gt;=2,TRUE))</formula>
    </cfRule>
  </conditionalFormatting>
  <conditionalFormatting sqref="H28:H29">
    <cfRule type="expression" dxfId="3109" priority="216">
      <formula>AND(#REF!=1,IF(COUNTIF(#REF!,"=1")&gt;=2,TRUE))</formula>
    </cfRule>
    <cfRule type="expression" dxfId="3108" priority="217">
      <formula>AND(#REF!=3,IF(COUNTIF(#REF!,"=3")&gt;=2,TRUE))</formula>
    </cfRule>
    <cfRule type="expression" dxfId="3107" priority="218">
      <formula>AND(#REF!=2,IF(COUNTIF(#REF!,"=2")&gt;=2,TRUE))</formula>
    </cfRule>
  </conditionalFormatting>
  <conditionalFormatting sqref="B7:B10">
    <cfRule type="duplicateValues" dxfId="3106" priority="202"/>
  </conditionalFormatting>
  <conditionalFormatting sqref="B25:B28">
    <cfRule type="duplicateValues" dxfId="3105" priority="201"/>
  </conditionalFormatting>
  <conditionalFormatting sqref="B19:B22">
    <cfRule type="duplicateValues" dxfId="3104" priority="200"/>
  </conditionalFormatting>
  <conditionalFormatting sqref="B13:B16">
    <cfRule type="duplicateValues" dxfId="3103" priority="199"/>
  </conditionalFormatting>
  <conditionalFormatting sqref="G7:G10">
    <cfRule type="containsText" dxfId="3102" priority="197" operator="containsText" text="2">
      <formula>NOT(ISERROR(SEARCH("2",G7)))</formula>
    </cfRule>
    <cfRule type="containsText" dxfId="3101" priority="198" operator="containsText" text="1">
      <formula>NOT(ISERROR(SEARCH("1",G7)))</formula>
    </cfRule>
  </conditionalFormatting>
  <conditionalFormatting sqref="G10">
    <cfRule type="expression" dxfId="3100" priority="196">
      <formula>B10="-"</formula>
    </cfRule>
  </conditionalFormatting>
  <conditionalFormatting sqref="C7">
    <cfRule type="aboveAverage" dxfId="3099" priority="195"/>
  </conditionalFormatting>
  <conditionalFormatting sqref="C8:C9">
    <cfRule type="aboveAverage" dxfId="3098" priority="194"/>
  </conditionalFormatting>
  <conditionalFormatting sqref="G13:G16">
    <cfRule type="containsText" dxfId="3097" priority="192" operator="containsText" text="2">
      <formula>NOT(ISERROR(SEARCH("2",G13)))</formula>
    </cfRule>
    <cfRule type="containsText" dxfId="3096" priority="193" operator="containsText" text="1">
      <formula>NOT(ISERROR(SEARCH("1",G13)))</formula>
    </cfRule>
  </conditionalFormatting>
  <conditionalFormatting sqref="G16">
    <cfRule type="expression" dxfId="3095" priority="191">
      <formula>B16="-"</formula>
    </cfRule>
  </conditionalFormatting>
  <conditionalFormatting sqref="C13 C16">
    <cfRule type="aboveAverage" dxfId="3094" priority="190"/>
  </conditionalFormatting>
  <conditionalFormatting sqref="C14:C15">
    <cfRule type="aboveAverage" dxfId="3093" priority="189"/>
  </conditionalFormatting>
  <conditionalFormatting sqref="G19:G22">
    <cfRule type="containsText" dxfId="3092" priority="187" operator="containsText" text="2">
      <formula>NOT(ISERROR(SEARCH("2",G19)))</formula>
    </cfRule>
    <cfRule type="containsText" dxfId="3091" priority="188" operator="containsText" text="1">
      <formula>NOT(ISERROR(SEARCH("1",G19)))</formula>
    </cfRule>
  </conditionalFormatting>
  <conditionalFormatting sqref="G22">
    <cfRule type="expression" dxfId="3090" priority="186">
      <formula>B22="-"</formula>
    </cfRule>
  </conditionalFormatting>
  <conditionalFormatting sqref="C19 C22">
    <cfRule type="aboveAverage" dxfId="3089" priority="185"/>
  </conditionalFormatting>
  <conditionalFormatting sqref="C20:C21">
    <cfRule type="aboveAverage" dxfId="3088" priority="184"/>
  </conditionalFormatting>
  <conditionalFormatting sqref="G25:G28">
    <cfRule type="containsText" dxfId="3087" priority="182" operator="containsText" text="2">
      <formula>NOT(ISERROR(SEARCH("2",G25)))</formula>
    </cfRule>
    <cfRule type="containsText" dxfId="3086" priority="183" operator="containsText" text="1">
      <formula>NOT(ISERROR(SEARCH("1",G25)))</formula>
    </cfRule>
  </conditionalFormatting>
  <conditionalFormatting sqref="G28">
    <cfRule type="expression" dxfId="3085" priority="181">
      <formula>B28="-"</formula>
    </cfRule>
  </conditionalFormatting>
  <conditionalFormatting sqref="C25 C28">
    <cfRule type="aboveAverage" dxfId="3084" priority="180"/>
  </conditionalFormatting>
  <conditionalFormatting sqref="C26:C27">
    <cfRule type="aboveAverage" dxfId="3083" priority="179"/>
  </conditionalFormatting>
  <conditionalFormatting sqref="E7">
    <cfRule type="expression" dxfId="3082" priority="177">
      <formula>AND(COUNT(E7:E10)&lt;2,IF(ISNUMBER(C7),C10&gt;C7))</formula>
    </cfRule>
  </conditionalFormatting>
  <conditionalFormatting sqref="E8">
    <cfRule type="expression" dxfId="3081" priority="176">
      <formula>AND(COUNT(E7:E10)&lt;2,IF(ISNUMBER(C8),C9&gt;C8))</formula>
    </cfRule>
  </conditionalFormatting>
  <conditionalFormatting sqref="E9">
    <cfRule type="expression" dxfId="3080" priority="175">
      <formula>AND(COUNT(E7:E10)&lt;2,IF(ISNUMBER(C9),C8&gt;C9))</formula>
    </cfRule>
  </conditionalFormatting>
  <conditionalFormatting sqref="E7:E9">
    <cfRule type="aboveAverage" dxfId="3079" priority="174"/>
  </conditionalFormatting>
  <conditionalFormatting sqref="F7">
    <cfRule type="expression" dxfId="3078" priority="169">
      <formula>AND(COUNT(F7:F10)&lt;2,IF(COUNT(E7:E10)=2,IF(AND(ISNUMBER(E7),COUNTIF(E7:E10,E7)=1,E7=MAX(E7:E10)),TRUE,FALSE)))</formula>
    </cfRule>
    <cfRule type="expression" dxfId="3077" priority="173">
      <formula>AND(COUNT(F7:F10)&lt;2,IF(COUNT(D7:D10)=2,IF(AND(ISNUMBER(D7),COUNTIF(D7:D10,D7)=1,D7=MIN(D7:D10)),TRUE,FALSE)))</formula>
    </cfRule>
  </conditionalFormatting>
  <conditionalFormatting sqref="F8">
    <cfRule type="expression" dxfId="3076" priority="168">
      <formula>AND(COUNT(F7:F10)&lt;2,IF(COUNT(E7:E10)=2,IF(AND(ISNUMBER(E8),COUNTIF(E7:E10,E8)=1,E8=MAX(E7:E10)),TRUE,FALSE)))</formula>
    </cfRule>
    <cfRule type="expression" dxfId="3075" priority="172">
      <formula>AND(COUNT(F7:F10)&lt;2,IF(COUNT(D7:D10)=2,IF(AND(ISNUMBER(D8),COUNTIF(D7:D10,D8)=1,D8=MIN(D7:D10)),TRUE,FALSE)))</formula>
    </cfRule>
  </conditionalFormatting>
  <conditionalFormatting sqref="F9">
    <cfRule type="expression" dxfId="3074" priority="167">
      <formula>AND(COUNT(F7:F10)&lt;2,IF(COUNT(E7:E10)=2,IF(AND(ISNUMBER(E9),COUNTIF(E7:E10,E9)=1,E9=MAX(E7:E10)),TRUE,FALSE)))</formula>
    </cfRule>
    <cfRule type="expression" dxfId="3073" priority="171">
      <formula>AND(COUNT(F7:F10)&lt;2,IF(COUNT(D7:D10)=2,IF(AND(ISNUMBER(D9),COUNTIF(D7:D10,D9)=1,D9=MIN(D7:D10)),TRUE,FALSE)))</formula>
    </cfRule>
  </conditionalFormatting>
  <conditionalFormatting sqref="F10">
    <cfRule type="expression" dxfId="3072" priority="166">
      <formula>AND(COUNT(F7:F10)&lt;2,IF(COUNT(E7:E10)=2,IF(AND(ISNUMBER(E10),COUNTIF(E7:E10,E10)=1,E10=MAX(E7:E10)),TRUE,FALSE)))</formula>
    </cfRule>
    <cfRule type="expression" dxfId="3071" priority="170">
      <formula>AND(COUNT(F7:F10)&lt;2,IF(COUNT(D7:D10)=2,IF(AND(ISNUMBER(D10),COUNTIF(D7:D10,D10)=1,D10=MIN(D7:D10)),TRUE,FALSE)))</formula>
    </cfRule>
  </conditionalFormatting>
  <conditionalFormatting sqref="F7:F10">
    <cfRule type="aboveAverage" dxfId="3070" priority="165"/>
  </conditionalFormatting>
  <conditionalFormatting sqref="D7">
    <cfRule type="expression" dxfId="3069" priority="164">
      <formula>AND(COUNT(D7:D10)&lt;2,IF(ISNUMBER(C10),C7&gt;C10))</formula>
    </cfRule>
  </conditionalFormatting>
  <conditionalFormatting sqref="D8">
    <cfRule type="expression" dxfId="3068" priority="163">
      <formula>AND(COUNT(D7:D10)&lt;2,IF(ISNUMBER(C9),C8&gt;C9))</formula>
    </cfRule>
  </conditionalFormatting>
  <conditionalFormatting sqref="D9">
    <cfRule type="expression" dxfId="3067" priority="162">
      <formula>AND(COUNT(D7:D10)&lt;2,IF(ISNUMBER(C8),C9&gt;C8))</formula>
    </cfRule>
  </conditionalFormatting>
  <conditionalFormatting sqref="D10">
    <cfRule type="expression" dxfId="3066" priority="161">
      <formula>AND(COUNT(D7:D10)&lt;2,IF(ISNUMBER(C7),C10&gt;C7))</formula>
    </cfRule>
  </conditionalFormatting>
  <conditionalFormatting sqref="D7:D10">
    <cfRule type="aboveAverage" dxfId="3065" priority="160"/>
  </conditionalFormatting>
  <conditionalFormatting sqref="E16">
    <cfRule type="expression" dxfId="3064" priority="159">
      <formula>AND(COUNT(E13:E16)&lt;2,IF(ISNUMBER(C16),C13&gt;C16))</formula>
    </cfRule>
  </conditionalFormatting>
  <conditionalFormatting sqref="E13">
    <cfRule type="expression" dxfId="3063" priority="158">
      <formula>AND(COUNT(E13:E16)&lt;2,IF(ISNUMBER(C13),C16&gt;C13))</formula>
    </cfRule>
  </conditionalFormatting>
  <conditionalFormatting sqref="E14">
    <cfRule type="expression" dxfId="3062" priority="157">
      <formula>AND(COUNT(E13:E16)&lt;2,IF(ISNUMBER(C14),C15&gt;C14))</formula>
    </cfRule>
  </conditionalFormatting>
  <conditionalFormatting sqref="E15">
    <cfRule type="expression" dxfId="3061" priority="156">
      <formula>AND(COUNT(E13:E16)&lt;2,IF(ISNUMBER(C15),C14&gt;C15))</formula>
    </cfRule>
  </conditionalFormatting>
  <conditionalFormatting sqref="E13:E16">
    <cfRule type="aboveAverage" dxfId="3060" priority="155"/>
  </conditionalFormatting>
  <conditionalFormatting sqref="F13">
    <cfRule type="expression" dxfId="3059" priority="150">
      <formula>AND(COUNT(F13:F16)&lt;2,IF(COUNT(E13:E16)=2,IF(AND(ISNUMBER(E13),COUNTIF(E13:E16,E13)=1,E13=MAX(E13:E16)),TRUE,FALSE)))</formula>
    </cfRule>
    <cfRule type="expression" dxfId="3058" priority="154">
      <formula>AND(COUNT(F13:F16)&lt;2,IF(COUNT(D13:D16)=2,IF(AND(ISNUMBER(D13),COUNTIF(D13:D16,D13)=1,D13=MIN(D13:D16)),TRUE,FALSE)))</formula>
    </cfRule>
  </conditionalFormatting>
  <conditionalFormatting sqref="F14">
    <cfRule type="expression" dxfId="3057" priority="149">
      <formula>AND(COUNT(F13:F16)&lt;2,IF(COUNT(E13:E16)=2,IF(AND(ISNUMBER(E14),COUNTIF(E13:E16,E14)=1,E14=MAX(E13:E16)),TRUE,FALSE)))</formula>
    </cfRule>
    <cfRule type="expression" dxfId="3056" priority="153">
      <formula>AND(COUNT(F13:F16)&lt;2,IF(COUNT(D13:D16)=2,IF(AND(ISNUMBER(D14),COUNTIF(D13:D16,D14)=1,D14=MIN(D13:D16)),TRUE,FALSE)))</formula>
    </cfRule>
  </conditionalFormatting>
  <conditionalFormatting sqref="F15">
    <cfRule type="expression" dxfId="3055" priority="148">
      <formula>AND(COUNT(F13:F16)&lt;2,IF(COUNT(E13:E16)=2,IF(AND(ISNUMBER(E15),COUNTIF(E13:E16,E15)=1,E15=MAX(E13:E16)),TRUE,FALSE)))</formula>
    </cfRule>
    <cfRule type="expression" dxfId="3054" priority="152">
      <formula>AND(COUNT(F13:F16)&lt;2,IF(COUNT(D13:D16)=2,IF(AND(ISNUMBER(D15),COUNTIF(D13:D16,D15)=1,D15=MIN(D13:D16)),TRUE,FALSE)))</formula>
    </cfRule>
  </conditionalFormatting>
  <conditionalFormatting sqref="F16">
    <cfRule type="expression" dxfId="3053" priority="147">
      <formula>AND(COUNT(F13:F16)&lt;2,IF(COUNT(E13:E16)=2,IF(AND(ISNUMBER(E16),COUNTIF(E13:E16,E16)=1,E16=MAX(E13:E16)),TRUE,FALSE)))</formula>
    </cfRule>
    <cfRule type="expression" dxfId="3052" priority="151">
      <formula>AND(COUNT(F13:F16)&lt;2,IF(COUNT(D13:D16)=2,IF(AND(ISNUMBER(D16),COUNTIF(D13:D16,D16)=1,D16=MIN(D13:D16)),TRUE,FALSE)))</formula>
    </cfRule>
  </conditionalFormatting>
  <conditionalFormatting sqref="F13:F16">
    <cfRule type="aboveAverage" dxfId="3051" priority="146"/>
  </conditionalFormatting>
  <conditionalFormatting sqref="D13">
    <cfRule type="expression" dxfId="3050" priority="145">
      <formula>AND(COUNT(D13:D16)&lt;2,IF(ISNUMBER(C16),C13&gt;C16))</formula>
    </cfRule>
  </conditionalFormatting>
  <conditionalFormatting sqref="D14">
    <cfRule type="expression" dxfId="3049" priority="144">
      <formula>AND(COUNT(D13:D16)&lt;2,IF(ISNUMBER(C15),C14&gt;C15))</formula>
    </cfRule>
  </conditionalFormatting>
  <conditionalFormatting sqref="D15">
    <cfRule type="expression" dxfId="3048" priority="143">
      <formula>AND(COUNT(D13:D16)&lt;2,IF(ISNUMBER(C14),C15&gt;C14))</formula>
    </cfRule>
  </conditionalFormatting>
  <conditionalFormatting sqref="D16">
    <cfRule type="expression" dxfId="3047" priority="142">
      <formula>AND(COUNT(D13:D16)&lt;2,IF(ISNUMBER(C13),C16&gt;C13))</formula>
    </cfRule>
  </conditionalFormatting>
  <conditionalFormatting sqref="D13:D16">
    <cfRule type="aboveAverage" dxfId="3046" priority="141"/>
  </conditionalFormatting>
  <conditionalFormatting sqref="E22">
    <cfRule type="expression" dxfId="3045" priority="140">
      <formula>AND(COUNT(E19:E22)&lt;2,IF(ISNUMBER(C22),C19&gt;C22))</formula>
    </cfRule>
  </conditionalFormatting>
  <conditionalFormatting sqref="E19">
    <cfRule type="expression" dxfId="3044" priority="139">
      <formula>AND(COUNT(E19:E22)&lt;2,IF(ISNUMBER(C19),C22&gt;C19))</formula>
    </cfRule>
  </conditionalFormatting>
  <conditionalFormatting sqref="E20">
    <cfRule type="expression" dxfId="3043" priority="138">
      <formula>AND(COUNT(E19:E22)&lt;2,IF(ISNUMBER(C20),C21&gt;C20))</formula>
    </cfRule>
  </conditionalFormatting>
  <conditionalFormatting sqref="E21">
    <cfRule type="expression" dxfId="3042" priority="137">
      <formula>AND(COUNT(E19:E22)&lt;2,IF(ISNUMBER(C21),C20&gt;C21))</formula>
    </cfRule>
  </conditionalFormatting>
  <conditionalFormatting sqref="E19:E22">
    <cfRule type="aboveAverage" dxfId="3041" priority="136"/>
  </conditionalFormatting>
  <conditionalFormatting sqref="F19">
    <cfRule type="expression" dxfId="3040" priority="131">
      <formula>AND(COUNT(F19:F22)&lt;2,IF(COUNT(E19:E22)=2,IF(AND(ISNUMBER(E19),COUNTIF(E19:E22,E19)=1,E19=MAX(E19:E22)),TRUE,FALSE)))</formula>
    </cfRule>
    <cfRule type="expression" dxfId="3039" priority="135">
      <formula>AND(COUNT(F19:F22)&lt;2,IF(COUNT(D19:D22)=2,IF(AND(ISNUMBER(D19),COUNTIF(D19:D22,D19)=1,D19=MIN(D19:D22)),TRUE,FALSE)))</formula>
    </cfRule>
  </conditionalFormatting>
  <conditionalFormatting sqref="F20">
    <cfRule type="expression" dxfId="3038" priority="130">
      <formula>AND(COUNT(F19:F22)&lt;2,IF(COUNT(E19:E22)=2,IF(AND(ISNUMBER(E20),COUNTIF(E19:E22,E20)=1,E20=MAX(E19:E22)),TRUE,FALSE)))</formula>
    </cfRule>
    <cfRule type="expression" dxfId="3037" priority="134">
      <formula>AND(COUNT(F19:F22)&lt;2,IF(COUNT(D19:D22)=2,IF(AND(ISNUMBER(D20),COUNTIF(D19:D22,D20)=1,D20=MIN(D19:D22)),TRUE,FALSE)))</formula>
    </cfRule>
  </conditionalFormatting>
  <conditionalFormatting sqref="F21">
    <cfRule type="expression" dxfId="3036" priority="129">
      <formula>AND(COUNT(F19:F22)&lt;2,IF(COUNT(E19:E22)=2,IF(AND(ISNUMBER(E21),COUNTIF(E19:E22,E21)=1,E21=MAX(E19:E22)),TRUE,FALSE)))</formula>
    </cfRule>
    <cfRule type="expression" dxfId="3035" priority="133">
      <formula>AND(COUNT(F19:F22)&lt;2,IF(COUNT(D19:D22)=2,IF(AND(ISNUMBER(D21),COUNTIF(D19:D22,D21)=1,D21=MIN(D19:D22)),TRUE,FALSE)))</formula>
    </cfRule>
  </conditionalFormatting>
  <conditionalFormatting sqref="F22">
    <cfRule type="expression" dxfId="3034" priority="128">
      <formula>AND(COUNT(F19:F22)&lt;2,IF(COUNT(E19:E22)=2,IF(AND(ISNUMBER(E22),COUNTIF(E19:E22,E22)=1,E22=MAX(E19:E22)),TRUE,FALSE)))</formula>
    </cfRule>
    <cfRule type="expression" dxfId="3033" priority="132">
      <formula>AND(COUNT(F19:F22)&lt;2,IF(COUNT(D19:D22)=2,IF(AND(ISNUMBER(D22),COUNTIF(D19:D22,D22)=1,D22=MIN(D19:D22)),TRUE,FALSE)))</formula>
    </cfRule>
  </conditionalFormatting>
  <conditionalFormatting sqref="F19:F22">
    <cfRule type="aboveAverage" dxfId="3032" priority="127"/>
  </conditionalFormatting>
  <conditionalFormatting sqref="D19">
    <cfRule type="expression" dxfId="3031" priority="126">
      <formula>AND(COUNT(D19:D22)&lt;2,IF(ISNUMBER(C22),C19&gt;C22))</formula>
    </cfRule>
  </conditionalFormatting>
  <conditionalFormatting sqref="D20">
    <cfRule type="expression" dxfId="3030" priority="125">
      <formula>AND(COUNT(D19:D22)&lt;2,IF(ISNUMBER(C21),C20&gt;C21))</formula>
    </cfRule>
  </conditionalFormatting>
  <conditionalFormatting sqref="D21">
    <cfRule type="expression" dxfId="3029" priority="124">
      <formula>AND(COUNT(D19:D22)&lt;2,IF(ISNUMBER(C20),C21&gt;C20))</formula>
    </cfRule>
  </conditionalFormatting>
  <conditionalFormatting sqref="D22">
    <cfRule type="expression" dxfId="3028" priority="123">
      <formula>AND(COUNT(D19:D22)&lt;2,IF(ISNUMBER(C19),C22&gt;C19))</formula>
    </cfRule>
  </conditionalFormatting>
  <conditionalFormatting sqref="D19:D22">
    <cfRule type="aboveAverage" dxfId="3027" priority="122"/>
  </conditionalFormatting>
  <conditionalFormatting sqref="E28">
    <cfRule type="expression" dxfId="3026" priority="121">
      <formula>AND(COUNT(E25:E28)&lt;2,IF(ISNUMBER(C28),C25&gt;C28))</formula>
    </cfRule>
  </conditionalFormatting>
  <conditionalFormatting sqref="E25">
    <cfRule type="expression" dxfId="3025" priority="120">
      <formula>AND(COUNT(E25:E28)&lt;2,IF(ISNUMBER(C25),C28&gt;C25))</formula>
    </cfRule>
  </conditionalFormatting>
  <conditionalFormatting sqref="E26">
    <cfRule type="expression" dxfId="3024" priority="119">
      <formula>AND(COUNT(E25:E28)&lt;2,IF(ISNUMBER(C26),C27&gt;C26))</formula>
    </cfRule>
  </conditionalFormatting>
  <conditionalFormatting sqref="E27">
    <cfRule type="expression" dxfId="3023" priority="118">
      <formula>AND(COUNT(E25:E28)&lt;2,IF(ISNUMBER(C27),C26&gt;C27))</formula>
    </cfRule>
  </conditionalFormatting>
  <conditionalFormatting sqref="E25:E28">
    <cfRule type="aboveAverage" dxfId="3022" priority="117"/>
  </conditionalFormatting>
  <conditionalFormatting sqref="F25">
    <cfRule type="expression" dxfId="3021" priority="112">
      <formula>AND(COUNT(F25:F28)&lt;2,IF(COUNT(E25:E28)=2,IF(AND(ISNUMBER(E25),COUNTIF(E25:E28,E25)=1,E25=MAX(E25:E28)),TRUE,FALSE)))</formula>
    </cfRule>
    <cfRule type="expression" dxfId="3020" priority="116">
      <formula>AND(COUNT(F25:F28)&lt;2,IF(COUNT(D25:D28)=2,IF(AND(ISNUMBER(D25),COUNTIF(D25:D28,D25)=1,D25=MIN(D25:D28)),TRUE,FALSE)))</formula>
    </cfRule>
  </conditionalFormatting>
  <conditionalFormatting sqref="F26">
    <cfRule type="expression" dxfId="3019" priority="111">
      <formula>AND(COUNT(F25:F28)&lt;2,IF(COUNT(E25:E28)=2,IF(AND(ISNUMBER(E26),COUNTIF(E25:E28,E26)=1,E26=MAX(E25:E28)),TRUE,FALSE)))</formula>
    </cfRule>
    <cfRule type="expression" dxfId="3018" priority="115">
      <formula>AND(COUNT(F25:F28)&lt;2,IF(COUNT(D25:D28)=2,IF(AND(ISNUMBER(D26),COUNTIF(D25:D28,D26)=1,D26=MIN(D25:D28)),TRUE,FALSE)))</formula>
    </cfRule>
  </conditionalFormatting>
  <conditionalFormatting sqref="F27">
    <cfRule type="expression" dxfId="3017" priority="110">
      <formula>AND(COUNT(F25:F28)&lt;2,IF(COUNT(E25:E28)=2,IF(AND(ISNUMBER(E27),COUNTIF(E25:E28,E27)=1,E27=MAX(E25:E28)),TRUE,FALSE)))</formula>
    </cfRule>
    <cfRule type="expression" dxfId="3016" priority="114">
      <formula>AND(COUNT(F25:F28)&lt;2,IF(COUNT(D25:D28)=2,IF(AND(ISNUMBER(D27),COUNTIF(D25:D28,D27)=1,D27=MIN(D25:D28)),TRUE,FALSE)))</formula>
    </cfRule>
  </conditionalFormatting>
  <conditionalFormatting sqref="F28">
    <cfRule type="expression" dxfId="3015" priority="109">
      <formula>AND(COUNT(F25:F28)&lt;2,IF(COUNT(E25:E28)=2,IF(AND(ISNUMBER(E28),COUNTIF(E25:E28,E28)=1,E28=MAX(E25:E28)),TRUE,FALSE)))</formula>
    </cfRule>
    <cfRule type="expression" dxfId="3014" priority="113">
      <formula>AND(COUNT(F25:F28)&lt;2,IF(COUNT(D25:D28)=2,IF(AND(ISNUMBER(D28),COUNTIF(D25:D28,D28)=1,D28=MIN(D25:D28)),TRUE,FALSE)))</formula>
    </cfRule>
  </conditionalFormatting>
  <conditionalFormatting sqref="F25:F28">
    <cfRule type="aboveAverage" dxfId="3013" priority="108"/>
  </conditionalFormatting>
  <conditionalFormatting sqref="D25">
    <cfRule type="expression" dxfId="3012" priority="107">
      <formula>AND(COUNT(D25:D28)&lt;2,IF(ISNUMBER(C28),C25&gt;C28))</formula>
    </cfRule>
  </conditionalFormatting>
  <conditionalFormatting sqref="D26">
    <cfRule type="expression" dxfId="3011" priority="106">
      <formula>AND(COUNT(D25:D28)&lt;2,IF(ISNUMBER(C27),C26&gt;C27))</formula>
    </cfRule>
  </conditionalFormatting>
  <conditionalFormatting sqref="D27">
    <cfRule type="expression" dxfId="3010" priority="105">
      <formula>AND(COUNT(D25:D28)&lt;2,IF(ISNUMBER(C26),C27&gt;C26))</formula>
    </cfRule>
  </conditionalFormatting>
  <conditionalFormatting sqref="D28">
    <cfRule type="expression" dxfId="3009" priority="104">
      <formula>AND(COUNT(D25:D28)&lt;2,IF(ISNUMBER(C25),C28&gt;C25))</formula>
    </cfRule>
  </conditionalFormatting>
  <conditionalFormatting sqref="D25:D28">
    <cfRule type="aboveAverage" dxfId="3008" priority="103"/>
  </conditionalFormatting>
  <conditionalFormatting sqref="A102:A116">
    <cfRule type="cellIs" dxfId="3007" priority="92" operator="equal">
      <formula>"-"</formula>
    </cfRule>
    <cfRule type="duplicateValues" dxfId="3006" priority="102"/>
  </conditionalFormatting>
  <conditionalFormatting sqref="C10">
    <cfRule type="aboveAverage" dxfId="3005" priority="67"/>
  </conditionalFormatting>
  <conditionalFormatting sqref="E10">
    <cfRule type="expression" dxfId="3004" priority="66">
      <formula>AND(COUNT(E7:E10)&lt;2,IF(ISNUMBER(C10),C7&gt;C10))</formula>
    </cfRule>
  </conditionalFormatting>
  <conditionalFormatting sqref="E10">
    <cfRule type="aboveAverage" dxfId="3003" priority="65"/>
  </conditionalFormatting>
  <conditionalFormatting sqref="C102 C104">
    <cfRule type="aboveAverage" dxfId="3002" priority="56"/>
  </conditionalFormatting>
  <conditionalFormatting sqref="C106 C108">
    <cfRule type="aboveAverage" dxfId="3001" priority="55"/>
  </conditionalFormatting>
  <conditionalFormatting sqref="E103 E107">
    <cfRule type="aboveAverage" dxfId="3000" priority="54"/>
  </conditionalFormatting>
  <conditionalFormatting sqref="C110 C112">
    <cfRule type="aboveAverage" dxfId="2999" priority="53"/>
  </conditionalFormatting>
  <conditionalFormatting sqref="C114 C116">
    <cfRule type="aboveAverage" dxfId="2998" priority="52"/>
  </conditionalFormatting>
  <conditionalFormatting sqref="E111 E115">
    <cfRule type="aboveAverage" dxfId="2997" priority="51"/>
  </conditionalFormatting>
  <conditionalFormatting sqref="G105 G113">
    <cfRule type="aboveAverage" dxfId="2996" priority="50"/>
  </conditionalFormatting>
  <conditionalFormatting sqref="G117 G119">
    <cfRule type="aboveAverage" dxfId="2995" priority="49"/>
  </conditionalFormatting>
  <conditionalFormatting sqref="C102 C104 C106 C108 C110 C112 C114 C116 E103 E107 E111 E115 G105 G113 G117 G119">
    <cfRule type="containsBlanks" dxfId="2994" priority="48">
      <formula>LEN(TRIM(C102))=0</formula>
    </cfRule>
  </conditionalFormatting>
  <conditionalFormatting sqref="E123 E125">
    <cfRule type="aboveAverage" dxfId="2993" priority="38"/>
  </conditionalFormatting>
  <conditionalFormatting sqref="E127 E129">
    <cfRule type="aboveAverage" dxfId="2992" priority="37"/>
  </conditionalFormatting>
  <conditionalFormatting sqref="G124 G128">
    <cfRule type="aboveAverage" dxfId="2991" priority="36"/>
  </conditionalFormatting>
  <conditionalFormatting sqref="G131 G133">
    <cfRule type="aboveAverage" dxfId="2990" priority="35"/>
  </conditionalFormatting>
  <conditionalFormatting sqref="E123 E125 E127 E129 G124 G128 G131 G133">
    <cfRule type="containsBlanks" dxfId="2989" priority="34">
      <formula>LEN(TRIM(E123))=0</formula>
    </cfRule>
  </conditionalFormatting>
  <conditionalFormatting sqref="B300:B308">
    <cfRule type="containsBlanks" dxfId="2988" priority="30">
      <formula>LEN(TRIM(B300))=0</formula>
    </cfRule>
    <cfRule type="duplicateValues" dxfId="2987" priority="31"/>
  </conditionalFormatting>
  <conditionalFormatting sqref="D141 C142">
    <cfRule type="aboveAverage" dxfId="2986" priority="29"/>
  </conditionalFormatting>
  <conditionalFormatting sqref="E141 C143">
    <cfRule type="aboveAverage" dxfId="2985" priority="28"/>
  </conditionalFormatting>
  <conditionalFormatting sqref="F141 C144">
    <cfRule type="aboveAverage" dxfId="2984" priority="27"/>
  </conditionalFormatting>
  <conditionalFormatting sqref="E142 D143">
    <cfRule type="aboveAverage" dxfId="2983" priority="26"/>
  </conditionalFormatting>
  <conditionalFormatting sqref="G141 C145">
    <cfRule type="aboveAverage" dxfId="2982" priority="25"/>
  </conditionalFormatting>
  <conditionalFormatting sqref="F142 D144">
    <cfRule type="aboveAverage" dxfId="2981" priority="24"/>
  </conditionalFormatting>
  <conditionalFormatting sqref="G142 D145">
    <cfRule type="aboveAverage" dxfId="2980" priority="23"/>
  </conditionalFormatting>
  <conditionalFormatting sqref="F143 E144">
    <cfRule type="aboveAverage" dxfId="2979" priority="22"/>
  </conditionalFormatting>
  <conditionalFormatting sqref="G143 E145">
    <cfRule type="aboveAverage" dxfId="2978" priority="21"/>
  </conditionalFormatting>
  <conditionalFormatting sqref="F145 G144">
    <cfRule type="aboveAverage" dxfId="2977" priority="20"/>
  </conditionalFormatting>
  <conditionalFormatting sqref="K141:K145">
    <cfRule type="expression" dxfId="2976" priority="17">
      <formula>AND(J141=3,IF(COUNTIF(J$141:J$145,"=3")&gt;=2,TRUE))</formula>
    </cfRule>
    <cfRule type="expression" dxfId="2975" priority="18">
      <formula>AND(J141=1,IF(COUNTIF(J$141:J$145,"=1")&gt;=2,TRUE))</formula>
    </cfRule>
    <cfRule type="expression" dxfId="2974" priority="19">
      <formula>AND(J141=2,IF(COUNTIF(J$141:J$145,"=2")&gt;=2,TRUE))</formula>
    </cfRule>
  </conditionalFormatting>
  <conditionalFormatting sqref="H141:H145">
    <cfRule type="expression" dxfId="2973" priority="14">
      <formula>AND(J141=1,IF(COUNTIF(J$7:J$11,"=1")&gt;=2,TRUE))</formula>
    </cfRule>
    <cfRule type="expression" dxfId="2972" priority="15">
      <formula>AND(J141=3,IF(COUNTIF(J$7:J$11,"=3")&gt;=2,TRUE))</formula>
    </cfRule>
    <cfRule type="expression" dxfId="2971" priority="16">
      <formula>AND(J141=2,IF(COUNTIF(J$7:J$11,"=2")&gt;=2,TRUE))</formula>
    </cfRule>
  </conditionalFormatting>
  <conditionalFormatting sqref="I144:I145">
    <cfRule type="expression" dxfId="2970" priority="11">
      <formula>FIND(2,I144,1)</formula>
    </cfRule>
    <cfRule type="expression" dxfId="2969" priority="12">
      <formula>FIND(1,I144,1)</formula>
    </cfRule>
  </conditionalFormatting>
  <conditionalFormatting sqref="I141:I143">
    <cfRule type="expression" dxfId="2968" priority="9">
      <formula>FIND(2,I141,1)</formula>
    </cfRule>
    <cfRule type="expression" dxfId="2967" priority="10">
      <formula>FIND(1,I141,1)</formula>
    </cfRule>
  </conditionalFormatting>
  <conditionalFormatting sqref="L141:L145">
    <cfRule type="expression" dxfId="2966" priority="6">
      <formula>OR(J141=0,J141=4)</formula>
    </cfRule>
    <cfRule type="expression" dxfId="2965" priority="7">
      <formula>AND(J141=1,IF(COUNTIF(J$7:J$11,"=1")=1,TRUE))</formula>
    </cfRule>
    <cfRule type="expression" dxfId="2964" priority="8">
      <formula>AND(J141=3,IF(COUNTIF(J$7:J$11,"=3")=1,TRUE))</formula>
    </cfRule>
  </conditionalFormatting>
  <conditionalFormatting sqref="B147:C149">
    <cfRule type="containsText" dxfId="2963" priority="5" operator="containsText" text="I-Viru">
      <formula>NOT(ISERROR(SEARCH("I-Viru",B147)))</formula>
    </cfRule>
  </conditionalFormatting>
  <conditionalFormatting sqref="B141">
    <cfRule type="duplicateValues" dxfId="2962" priority="4"/>
  </conditionalFormatting>
  <conditionalFormatting sqref="B142">
    <cfRule type="duplicateValues" dxfId="2961" priority="3"/>
  </conditionalFormatting>
  <conditionalFormatting sqref="B143">
    <cfRule type="duplicateValues" dxfId="2960" priority="2"/>
  </conditionalFormatting>
  <conditionalFormatting sqref="G151:H158">
    <cfRule type="containsText" dxfId="2959" priority="1" operator="containsText" text="I-Viru">
      <formula>NOT(ISERROR(SEARCH("I-Viru",G151)))</formula>
    </cfRule>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rowBreaks count="2" manualBreakCount="2">
    <brk id="28" max="16383" man="1"/>
    <brk id="136" max="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pageSetUpPr fitToPage="1"/>
  </sheetPr>
  <dimension ref="A1:N316"/>
  <sheetViews>
    <sheetView showGridLines="0" showRowColHeaders="0" zoomScaleNormal="100" workbookViewId="0">
      <pane ySplit="2" topLeftCell="A3" activePane="bottomLeft" state="frozen"/>
      <selection activeCell="K1" sqref="K1"/>
      <selection pane="bottomLeft" activeCell="L1" sqref="L1"/>
    </sheetView>
  </sheetViews>
  <sheetFormatPr defaultRowHeight="12.75" x14ac:dyDescent="0.2"/>
  <cols>
    <col min="1" max="1" width="5.5703125" style="277" customWidth="1"/>
    <col min="2" max="2" width="18.7109375" style="277" bestFit="1" customWidth="1"/>
    <col min="3" max="9" width="6.7109375" style="277" customWidth="1"/>
    <col min="10" max="10" width="6.7109375" style="277" hidden="1" customWidth="1"/>
    <col min="11" max="12" width="4.7109375" style="277" customWidth="1"/>
    <col min="13" max="13" width="6.7109375" style="277" hidden="1" customWidth="1"/>
    <col min="14" max="16384" width="9.140625" style="277"/>
  </cols>
  <sheetData>
    <row r="1" spans="1:14" x14ac:dyDescent="0.2">
      <c r="A1" s="31" t="str">
        <f>UPPER((Kalend!E13)&amp;" - "&amp;(Kalend!C13)&amp;" - "&amp;(Kalend!D13))</f>
        <v>3 - K-JÄRVE 17. KV 3. ETAPP - ÜKSIK</v>
      </c>
      <c r="G1" s="495" t="str">
        <f>HYPERLINK("#'Kalend'!I1","Kalender")</f>
        <v>Kalender</v>
      </c>
      <c r="I1" s="495" t="str">
        <f>HYPERLINK("#'Reit'!T1","Reiting")</f>
        <v>Reiting</v>
      </c>
      <c r="M1" s="497"/>
    </row>
    <row r="2" spans="1:14" x14ac:dyDescent="0.2">
      <c r="A2" s="2" t="str">
        <f>"Toimumisaeg: "&amp;(Kalend!A13)&amp;" kell "&amp;(Kalend!B13)</f>
        <v>Toimumisaeg: N, 31.05.2018 kell 18:00</v>
      </c>
    </row>
    <row r="3" spans="1:14" x14ac:dyDescent="0.2">
      <c r="A3" s="2" t="str">
        <f>"Toimumiskoht: "&amp;(Kalend!F13)</f>
        <v>Toimumiskoht: K-Järve spordihoone</v>
      </c>
    </row>
    <row r="4" spans="1:14" x14ac:dyDescent="0.2">
      <c r="A4" s="2" t="str">
        <f>"Korraldaja: "&amp;(Kalend!G13)</f>
        <v>Korraldaja: K-Järve SHK, Ivar Viljaste</v>
      </c>
    </row>
    <row r="5" spans="1:14" x14ac:dyDescent="0.2">
      <c r="A5" s="55"/>
      <c r="B5" s="55"/>
      <c r="C5" s="55"/>
      <c r="D5" s="55"/>
      <c r="E5" s="55"/>
      <c r="F5" s="55"/>
      <c r="G5" s="55"/>
      <c r="H5" s="55"/>
    </row>
    <row r="6" spans="1:14" s="506" customFormat="1" x14ac:dyDescent="0.2">
      <c r="A6" s="500" t="s">
        <v>140</v>
      </c>
      <c r="B6" s="501"/>
      <c r="C6" s="502">
        <v>1</v>
      </c>
      <c r="D6" s="502">
        <v>2</v>
      </c>
      <c r="E6" s="502">
        <v>3</v>
      </c>
      <c r="F6" s="502">
        <v>4</v>
      </c>
      <c r="G6" s="502"/>
      <c r="H6" s="502" t="s">
        <v>363</v>
      </c>
      <c r="I6" s="501" t="s">
        <v>26</v>
      </c>
      <c r="J6" s="503" t="s">
        <v>156</v>
      </c>
      <c r="K6" s="504" t="s">
        <v>156</v>
      </c>
      <c r="L6" s="505" t="s">
        <v>364</v>
      </c>
      <c r="M6" s="506" t="b">
        <f>OR(AND(COUNTA(B7:B11)=3,COUNTA(C7:G11)=6),AND(COUNTA(B7:B11)=4,COUNTA(C7:G11)=12),AND(COUNTA(B7:B11)=5,COUNTA(C7:G11)=20))</f>
        <v>1</v>
      </c>
      <c r="N6"/>
    </row>
    <row r="7" spans="1:14" s="506" customFormat="1" x14ac:dyDescent="0.2">
      <c r="A7" s="500">
        <v>1</v>
      </c>
      <c r="B7" s="508" t="s">
        <v>98</v>
      </c>
      <c r="C7" s="509"/>
      <c r="D7" s="510">
        <v>13</v>
      </c>
      <c r="E7" s="510">
        <v>11</v>
      </c>
      <c r="F7" s="510">
        <v>11</v>
      </c>
      <c r="G7" s="510"/>
      <c r="H7" s="511" t="str">
        <f>(IF(D7-C8&gt;0,1)+IF(E7-C9&gt;0,1)+IF(F7-C10&gt;0,1)+IF(G7-C11&gt;0,1))&amp;"-"&amp;(IF(D7-C8&lt;0,1)+IF(E7-C9&lt;0,1)+IF(F7-C10&lt;0,1)+IF(G7-C11&lt;0,1))</f>
        <v>1-2</v>
      </c>
      <c r="I7" s="510" t="str">
        <f>IF(AND(B7&lt;&gt;"",M$6=TRUE),A$6&amp;RANK(M7,M$7:M$11,0),"")</f>
        <v>A3</v>
      </c>
      <c r="J7" s="512">
        <f>VALUE(LEFT(H7,1))</f>
        <v>1</v>
      </c>
      <c r="K7" s="513">
        <f>IF(AND(J7=1,J8=1,D7&gt;C8),1)+IF(AND(J7=1,J9=1,E7&gt;C9),1)+IF(AND(J7=1,J10=1,F7&gt;C10),1)+IF(AND(J7=1,J11=1,G7&gt;C11),1)+IF(AND(J7=2,J8=2,D7&gt;C8),1)+IF(AND(J7=2,J9=2,E7&gt;C9),1)+IF(AND(J7=2,J10=2,F7&gt;C10),1)+IF(AND(J7=2,J11=2,G7&gt;C11),1)+IF(AND(J7=3,J8=3,D7&gt;C8),1)+IF(AND(J7=3,J9=3,E7&gt;C9),1)+IF(AND(J7=3,J10=3,F7&gt;C10),1)+IF(AND(J7=3,J11=3,G7&gt;C11),1)</f>
        <v>0</v>
      </c>
      <c r="L7" s="1305">
        <f>IF(AND(J7=1,J8=1),D7-C8)+IF(AND(J7=1,J9=1),E7-C9)+IF(AND(J7=1,J10=1),F7-C10)+IF(AND(J7=1,J11=1),G7-C11)+IF(AND(J7=2,J8=2),D7-C8)+IF(AND(J7=2,J9=2),E7-C9)+IF(AND(J7=2,J10=2),F7-C10)+IF(AND(J7=2,J11=2),G7-C11)+IF(AND(J7=3,J8=3),D7-C8)+IF(AND(J7=3,J9=3),E7-C9)+IF(AND(J7=3,J10=3),F7-C10)+IF(AND(J7=3,J11=3),G7-C11)</f>
        <v>0</v>
      </c>
      <c r="M7" s="515">
        <f>10000*J7+K7*100+L7</f>
        <v>10000</v>
      </c>
      <c r="N7"/>
    </row>
    <row r="8" spans="1:14" s="506" customFormat="1" x14ac:dyDescent="0.2">
      <c r="A8" s="500">
        <v>2</v>
      </c>
      <c r="B8" s="518" t="s">
        <v>116</v>
      </c>
      <c r="C8" s="510">
        <v>2</v>
      </c>
      <c r="D8" s="509"/>
      <c r="E8" s="510">
        <v>10</v>
      </c>
      <c r="F8" s="510">
        <v>11</v>
      </c>
      <c r="G8" s="510"/>
      <c r="H8" s="511" t="str">
        <f>(IF(C8-D7&gt;0,1)+IF(E8-D9&gt;0,1)+IF(F8-D10&gt;0,1)+IF(G8-D11&gt;0,1))&amp;"-"&amp;(IF(C8-D7&lt;0,1)+IF(E8-D9&lt;0,1)+IF(F8-D10&lt;0,1)+IF(G8-D11&lt;0,1))</f>
        <v>0-3</v>
      </c>
      <c r="I8" s="510" t="str">
        <f>IF(AND(B8&lt;&gt;"",M$6=TRUE),A$6&amp;RANK(M8,M$7:M$11,0),"")</f>
        <v>A4</v>
      </c>
      <c r="J8" s="512">
        <f t="shared" ref="J8:J11" si="0">VALUE(LEFT(H8,1))</f>
        <v>0</v>
      </c>
      <c r="K8" s="639">
        <f>IF(AND(J8=1,J7=1,C8&gt;D7),1)+IF(AND(J8=1,J9=1,E8&gt;D9),1)+IF(AND(J8=1,J10=1,F8&gt;D10),1)+IF(AND(J8=1,J11=1,G8&gt;D11),1)+IF(AND(J8=2,J7=2,C8&gt;D7),1)+IF(AND(J8=2,J9=2,E8&gt;D9),1)+IF(AND(J8=2,J10=2,F8&gt;D10),1)+IF(AND(J8=2,J11=2,G8&gt;D11),1)+IF(AND(J8=3,J7=3,C8&gt;D7),1)+IF(AND(J8=3,J9=3,E8&gt;D9),1)+IF(AND(J8=3,J10=3,F8&gt;D10),1)+IF(AND(J8=3,J11=3,G8&gt;D11),1)</f>
        <v>0</v>
      </c>
      <c r="L8" s="1305">
        <f>IF(AND(J8=1,J7=1),C8-D7)+IF(AND(J8=1,J9=1),E8-D9)+IF(AND(J8=1,J10=1),F8-D10)+IF(AND(J8=1,J11=1),G8-D11)+IF(AND(J8=2,J7=2),C8-D7)+IF(AND(J8=2,J9=2),E8-D9)+IF(AND(J8=2,J10=2),F8-D10)+IF(AND(J8=2,J11=2),G8-D11)+IF(AND(J8=3,J7=3),C8-D7)+IF(AND(J8=3,J9=3),E8-D9)+IF(AND(J8=3,J10=3),F8-D10)+IF(AND(J8=3,J11=3),G8-D11)</f>
        <v>0</v>
      </c>
      <c r="M8" s="515">
        <f t="shared" ref="M8:M11" si="1">10000*J8+K8*100+L8</f>
        <v>0</v>
      </c>
      <c r="N8"/>
    </row>
    <row r="9" spans="1:14" s="506" customFormat="1" x14ac:dyDescent="0.2">
      <c r="A9" s="500">
        <v>3</v>
      </c>
      <c r="B9" s="518" t="s">
        <v>109</v>
      </c>
      <c r="C9" s="510">
        <v>13</v>
      </c>
      <c r="D9" s="520">
        <v>13</v>
      </c>
      <c r="E9" s="509"/>
      <c r="F9" s="510">
        <v>5</v>
      </c>
      <c r="G9" s="510"/>
      <c r="H9" s="511" t="str">
        <f>(IF(C9-E7&gt;0,1)+IF(D9-E8&gt;0,1)+IF(F9-E10&gt;0,1)+IF(G9-E11&gt;0,1))&amp;"-"&amp;(IF(C9-E7&lt;0,1)+IF(D9-E8&lt;0,1)+IF(F9-E10&lt;0,1)+IF(G9-E11&lt;0,1))</f>
        <v>2-1</v>
      </c>
      <c r="I9" s="510" t="str">
        <f>IF(AND(B9&lt;&gt;"",M$6=TRUE),A$6&amp;RANK(M9,M$7:M$11,0),"")</f>
        <v>A2</v>
      </c>
      <c r="J9" s="512">
        <f t="shared" si="0"/>
        <v>2</v>
      </c>
      <c r="K9" s="639">
        <f>IF(AND(J9=1,J7=1,C9&gt;E7),1)+IF(AND(J9=1,J8=1,D9&gt;E8),1)+IF(AND(J9=1,J10=1,F9&gt;E10),1)+IF(AND(J9=1,J11=1,G9&gt;E11),1)+IF(AND(J9=2,J7=2,C9&gt;E7),1)+IF(AND(J9=2,J8=2,D9&gt;E8),1)+IF(AND(J9=2,J10=2,F9&gt;E10),1)+IF(AND(J9=2,J11=2,G9&gt;E11),1)+IF(AND(J9=3,J7=3,C9&gt;E7),1)+IF(AND(J9=3,J8=3,D9&gt;E8),1)+IF(AND(J9=3,J10=3,F9&gt;E10),1)+IF(AND(J9=3,J11=3,G9&gt;E11),1)</f>
        <v>0</v>
      </c>
      <c r="L9" s="1305">
        <f>IF(AND(J9=1,J7=1),C9-E7)+IF(AND(J9=1,J8=1),D9-E8)+IF(AND(J9=1,J10=1),F9-E10)+IF(AND(J9=1,J11=1),G9-E11)+IF(AND(J9=2,J7=2),C9-E7)+IF(AND(J9=2,J8=2),D9-E8)+IF(AND(J9=2,J10=2),F9-E10)+IF(AND(J9=2,J11=2),G9-E11)+IF(AND(J9=3,J7=3),C9-E7)+IF(AND(J9=3,J8=3),D9-E8)+IF(AND(J9=3,J10=3),F9-E10)+IF(AND(J9=3,J11=3),G9-E11)</f>
        <v>0</v>
      </c>
      <c r="M9" s="515">
        <f t="shared" si="1"/>
        <v>20000</v>
      </c>
      <c r="N9"/>
    </row>
    <row r="10" spans="1:14" s="506" customFormat="1" x14ac:dyDescent="0.2">
      <c r="A10" s="500">
        <v>4</v>
      </c>
      <c r="B10" s="521" t="s">
        <v>94</v>
      </c>
      <c r="C10" s="510">
        <v>13</v>
      </c>
      <c r="D10" s="520">
        <v>13</v>
      </c>
      <c r="E10" s="510">
        <v>13</v>
      </c>
      <c r="F10" s="509"/>
      <c r="G10" s="522"/>
      <c r="H10" s="511" t="str">
        <f>(IF(C10-F7&gt;0,1)+IF(D10-F8&gt;0,1)+IF(E10-F9&gt;0,1)+IF(G10-F11&gt;0,1))&amp;"-"&amp;(IF(C10-F7&lt;0,1)+IF(D10-F8&lt;0,1)+IF(E10-F9&lt;0,1)+IF(G10-F11&lt;0,1))</f>
        <v>3-0</v>
      </c>
      <c r="I10" s="510" t="str">
        <f>IF(AND(B10&lt;&gt;"",M$6=TRUE),A$6&amp;RANK(M10,M$7:M$11,0),"")</f>
        <v>A1</v>
      </c>
      <c r="J10" s="512">
        <f t="shared" si="0"/>
        <v>3</v>
      </c>
      <c r="K10" s="639">
        <f>IF(AND(J10=1,J7=1,C10&gt;F7),1)+IF(AND(J10=1,J8=1,D10&gt;F8),1)+IF(AND(J10=1,J9=1,E10&gt;F9),1)+IF(AND(J10=1,J11=1,G10&gt;F11),1)+IF(AND(J10=2,J7=2,C10&gt;F7),1)+IF(AND(J10=2,J8=2,D10&gt;F8),1)+IF(AND(J10=2,J9=2,E10&gt;F9),1)+IF(AND(J10=2,J11=2,G10&gt;F11),1)+IF(AND(J10=3,J7=3,C10&gt;F7),1)+IF(AND(J10=3,J8=3,D10&gt;F8),1)+IF(AND(J10=3,J9=3,E10&gt;F9),1)+IF(AND(J10=3,J11=3,G10&gt;F11),1)</f>
        <v>0</v>
      </c>
      <c r="L10" s="1305">
        <f>IF(AND(J10=1,J7=1),C10-F7)+IF(AND(J10=1,J8=1),D10-F8)+IF(AND(J10=1,J9=1),E10-F9)+IF(AND(J10=1,J11=1),G10-F11)+IF(AND(J10=2,J7=2),C10-F7)+IF(AND(J10=2,J8=2),D10-F8)+IF(AND(J10=2,J9=2),E10-F9)+IF(AND(J10=2,J11=2),G10-F11)+IF(AND(J10=3,J7=3),C10-F7)+IF(AND(J10=3,J8=3),D10-F8)+IF(AND(J10=3,J9=3),E10-F9)+IF(AND(J10=3,J11=3),G10-F11)</f>
        <v>0</v>
      </c>
      <c r="M10" s="515">
        <f t="shared" si="1"/>
        <v>30000</v>
      </c>
      <c r="N10"/>
    </row>
    <row r="11" spans="1:14" s="506" customFormat="1" hidden="1" x14ac:dyDescent="0.2">
      <c r="A11" s="500">
        <v>5</v>
      </c>
      <c r="B11" s="521"/>
      <c r="C11" s="510"/>
      <c r="D11" s="510"/>
      <c r="E11" s="510"/>
      <c r="F11" s="510"/>
      <c r="G11" s="509"/>
      <c r="H11" s="511" t="str">
        <f>(IF(C11-G7&gt;0,1)+IF(D11-G8&gt;0,1)+IF(E11-G9&gt;0,1)+IF(F11-G10&gt;0,1))&amp;"-"&amp;(IF(C11-G7&lt;0,1)+IF(D11-G8&lt;0,1)+IF(E11-G9&lt;0,1)+IF(F11-G10&lt;0,1))</f>
        <v>0-0</v>
      </c>
      <c r="I11" s="510" t="str">
        <f>IF(AND(B11&lt;&gt;"",M$6=TRUE),A$6&amp;RANK(M11,M$7:M$11,0),"")</f>
        <v/>
      </c>
      <c r="J11" s="512">
        <f t="shared" si="0"/>
        <v>0</v>
      </c>
      <c r="K11" s="639">
        <f>IF(AND(J11=1,J7=1,C11&gt;G7),1)+IF(AND(J11=1,J8=1,D11&gt;G8),1)+IF(AND(J11=1,J9=1,E11&gt;G9),1)+IF(AND(J11=1,J10=1,F11&gt;G10),1)+IF(AND(J11=2,J7=2,C11&gt;G7),1)+IF(AND(J11=2,J8=2,D11&gt;G8),1)+IF(AND(J11=2,J9=2,E11&gt;G9),1)+IF(AND(J11=2,J10=2,F11&gt;G10),1)+IF(AND(J11=3,J7=3,C11&gt;G7),1)+IF(AND(J11=3,J8=3,D11&gt;G8),1)+IF(AND(J11=3,J9=3,E11&gt;G9),1)+IF(AND(J11=3,J10=3,F11&gt;G10),1)</f>
        <v>0</v>
      </c>
      <c r="L11" s="1305">
        <f>IF(AND(J11=1,J7=1),C11-G7)+IF(AND(J11=1,J8=1),D11-G8)+IF(AND(J11=1,J9=1),E11-G9)+IF(AND(J11=1,J10=1),F11-G10)+IF(AND(J11=2,J7=2),C11-G7)+IF(AND(J11=2,J8=2),D11-G8)+IF(AND(J11=2,J9=2),E11-G9)+IF(AND(J11=2,J10=2),F11-G10)+IF(AND(J11=3,J7=3),C11-G7)+IF(AND(J11=3,J8=3),D11-G8)+IF(AND(J11=3,J9=3),E11-G9)+IF(AND(J11=3,J10=3),F11-G10)</f>
        <v>0</v>
      </c>
      <c r="M11" s="515">
        <f t="shared" si="1"/>
        <v>0</v>
      </c>
      <c r="N11"/>
    </row>
    <row r="12" spans="1:14" s="506" customFormat="1" x14ac:dyDescent="0.2">
      <c r="A12" s="523"/>
      <c r="B12" s="524"/>
      <c r="C12" s="525"/>
      <c r="D12" s="526"/>
      <c r="E12" s="525"/>
      <c r="F12" s="527"/>
      <c r="H12" s="528"/>
      <c r="I12" s="529"/>
      <c r="J12" s="496"/>
      <c r="K12" s="530"/>
      <c r="L12" s="531"/>
      <c r="M12" s="496"/>
      <c r="N12"/>
    </row>
    <row r="13" spans="1:14" s="498" customFormat="1" x14ac:dyDescent="0.2">
      <c r="A13" s="500" t="s">
        <v>141</v>
      </c>
      <c r="B13" s="501"/>
      <c r="C13" s="502">
        <v>1</v>
      </c>
      <c r="D13" s="502">
        <v>2</v>
      </c>
      <c r="E13" s="502">
        <v>3</v>
      </c>
      <c r="F13" s="502">
        <v>4</v>
      </c>
      <c r="G13" s="502"/>
      <c r="H13" s="501" t="s">
        <v>363</v>
      </c>
      <c r="I13" s="501" t="s">
        <v>26</v>
      </c>
      <c r="J13" s="533" t="s">
        <v>156</v>
      </c>
      <c r="K13" s="504" t="s">
        <v>156</v>
      </c>
      <c r="L13" s="534" t="s">
        <v>364</v>
      </c>
      <c r="M13" s="535" t="b">
        <f>OR(AND(COUNTA(B14:B18)=3,COUNTA(C14:G18)=6),AND(COUNTA(B14:B18)=4,COUNTA(C14:G18)=12),AND(COUNTA(B14:B18)=5,COUNTA(C14:G18)=20))</f>
        <v>1</v>
      </c>
      <c r="N13"/>
    </row>
    <row r="14" spans="1:14" s="498" customFormat="1" x14ac:dyDescent="0.2">
      <c r="A14" s="500">
        <v>1</v>
      </c>
      <c r="B14" s="508" t="s">
        <v>91</v>
      </c>
      <c r="C14" s="509"/>
      <c r="D14" s="510">
        <v>13</v>
      </c>
      <c r="E14" s="510">
        <v>13</v>
      </c>
      <c r="F14" s="510">
        <v>13</v>
      </c>
      <c r="G14" s="510"/>
      <c r="H14" s="511" t="str">
        <f>(IF(D14-C15&gt;0,1)+IF(E14-C16&gt;0,1)+IF(F14-C17&gt;0,1)+IF(G14-C18&gt;0,1))&amp;"-"&amp;(IF(D14-C15&lt;0,1)+IF(E14-C16&lt;0,1)+IF(F14-C17&lt;0,1)+IF(G14-C18&lt;0,1))</f>
        <v>3-0</v>
      </c>
      <c r="I14" s="510" t="str">
        <f>IF(AND(B14&lt;&gt;"",M$13=TRUE),A$13&amp;RANK(M14,M$14:M$18,0),"")</f>
        <v>B1</v>
      </c>
      <c r="J14" s="512">
        <f>VALUE(LEFT(H14,1))</f>
        <v>3</v>
      </c>
      <c r="K14" s="513">
        <f>IF(AND(J14=1,J15=1,D14&gt;C15),1)+IF(AND(J14=1,J16=1,E14&gt;C16),1)+IF(AND(J14=1,J17=1,F14&gt;C17),1)+IF(AND(J14=1,J18=1,G14&gt;C18),1)+IF(AND(J14=2,J15=2,D14&gt;C15),1)+IF(AND(J14=2,J16=2,E14&gt;C16),1)+IF(AND(J14=2,J17=2,F14&gt;C17),1)+IF(AND(J14=2,J18=2,G14&gt;C18),1)+IF(AND(J14=3,J15=3,D14&gt;C15),1)+IF(AND(J14=3,J16=3,E14&gt;C16),1)+IF(AND(J14=3,J17=3,F14&gt;C17),1)+IF(AND(J14=3,J18=3,G14&gt;C18),1)</f>
        <v>0</v>
      </c>
      <c r="L14" s="1305">
        <f>IF(AND(J14=1,J15=1),D14-C15)+IF(AND(J14=1,J16=1),E14-C16)+IF(AND(J14=1,J17=1),F14-C17)+IF(AND(J14=1,J18=1),G14-C18)+IF(AND(J14=2,J15=2),D14-C15)+IF(AND(J14=2,J16=2),E14-C16)+IF(AND(J14=2,J17=2),F14-C17)+IF(AND(J14=2,J18=2),G14-C18)+IF(AND(J14=3,J15=3),D14-C15)+IF(AND(J14=3,J16=3),E14-C16)+IF(AND(J14=3,J17=3),F14-C17)+IF(AND(J14=3,J18=3),G14-C18)</f>
        <v>0</v>
      </c>
      <c r="M14" s="515">
        <f>10000*J14+K14*100+L14</f>
        <v>30000</v>
      </c>
      <c r="N14"/>
    </row>
    <row r="15" spans="1:14" s="498" customFormat="1" x14ac:dyDescent="0.2">
      <c r="A15" s="500">
        <v>2</v>
      </c>
      <c r="B15" s="518" t="s">
        <v>107</v>
      </c>
      <c r="C15" s="510">
        <v>8</v>
      </c>
      <c r="D15" s="509"/>
      <c r="E15" s="510">
        <v>10</v>
      </c>
      <c r="F15" s="510">
        <v>13</v>
      </c>
      <c r="G15" s="510"/>
      <c r="H15" s="511" t="str">
        <f>(IF(C15-D14&gt;0,1)+IF(E15-D16&gt;0,1)+IF(F15-D17&gt;0,1)+IF(G15-D18&gt;0,1))&amp;"-"&amp;(IF(C15-D14&lt;0,1)+IF(E15-D16&lt;0,1)+IF(F15-D17&lt;0,1)+IF(G15-D18&lt;0,1))</f>
        <v>1-2</v>
      </c>
      <c r="I15" s="510" t="str">
        <f>IF(AND(B15&lt;&gt;"",M$13=TRUE),A$13&amp;RANK(M15,M$14:M$18,0),"")</f>
        <v>B3</v>
      </c>
      <c r="J15" s="512">
        <f t="shared" ref="J15:J18" si="2">VALUE(LEFT(H15,1))</f>
        <v>1</v>
      </c>
      <c r="K15" s="639">
        <f>IF(AND(J15=1,J14=1,C15&gt;D14),1)+IF(AND(J15=1,J16=1,E15&gt;D16),1)+IF(AND(J15=1,J17=1,F15&gt;D17),1)+IF(AND(J15=1,J18=1,G15&gt;D18),1)+IF(AND(J15=2,J14=2,C15&gt;D14),1)+IF(AND(J15=2,J16=2,E15&gt;D16),1)+IF(AND(J15=2,J17=2,F15&gt;D17),1)+IF(AND(J15=2,J18=2,G15&gt;D18),1)+IF(AND(J15=3,J14=3,C15&gt;D14),1)+IF(AND(J15=3,J16=3,E15&gt;D16),1)+IF(AND(J15=3,J17=3,F15&gt;D17),1)+IF(AND(J15=3,J18=3,G15&gt;D18),1)</f>
        <v>0</v>
      </c>
      <c r="L15" s="1305">
        <f>IF(AND(J15=1,J14=1),C15-D14)+IF(AND(J15=1,J16=1),E15-D16)+IF(AND(J15=1,J17=1),F15-D17)+IF(AND(J15=1,J18=1),G15-D18)+IF(AND(J15=2,J14=2),C15-D14)+IF(AND(J15=2,J16=2),E15-D16)+IF(AND(J15=2,J17=2),F15-D17)+IF(AND(J15=2,J18=2),G15-D18)+IF(AND(J15=3,J14=3),C15-D14)+IF(AND(J15=3,J16=3),E15-D16)+IF(AND(J15=3,J17=3),F15-D17)+IF(AND(J15=3,J18=3),G15-D18)</f>
        <v>0</v>
      </c>
      <c r="M15" s="515">
        <f t="shared" ref="M15:M18" si="3">10000*J15+K15*100+L15</f>
        <v>10000</v>
      </c>
      <c r="N15"/>
    </row>
    <row r="16" spans="1:14" s="498" customFormat="1" x14ac:dyDescent="0.2">
      <c r="A16" s="500">
        <v>3</v>
      </c>
      <c r="B16" s="518" t="s">
        <v>103</v>
      </c>
      <c r="C16" s="510">
        <v>4</v>
      </c>
      <c r="D16" s="520">
        <v>13</v>
      </c>
      <c r="E16" s="509"/>
      <c r="F16" s="510">
        <v>13</v>
      </c>
      <c r="G16" s="510"/>
      <c r="H16" s="511" t="str">
        <f>(IF(C16-E14&gt;0,1)+IF(D16-E15&gt;0,1)+IF(F16-E17&gt;0,1)+IF(G16-E18&gt;0,1))&amp;"-"&amp;(IF(C16-E14&lt;0,1)+IF(D16-E15&lt;0,1)+IF(F16-E17&lt;0,1)+IF(G16-E18&lt;0,1))</f>
        <v>2-1</v>
      </c>
      <c r="I16" s="510" t="str">
        <f>IF(AND(B16&lt;&gt;"",M$13=TRUE),A$13&amp;RANK(M16,M$14:M$18,0),"")</f>
        <v>B2</v>
      </c>
      <c r="J16" s="512">
        <f t="shared" si="2"/>
        <v>2</v>
      </c>
      <c r="K16" s="639">
        <f>IF(AND(J16=1,J14=1,C16&gt;E14),1)+IF(AND(J16=1,J15=1,D16&gt;E15),1)+IF(AND(J16=1,J17=1,F16&gt;E17),1)+IF(AND(J16=1,J18=1,G16&gt;E18),1)+IF(AND(J16=2,J14=2,C16&gt;E14),1)+IF(AND(J16=2,J15=2,D16&gt;E15),1)+IF(AND(J16=2,J17=2,F16&gt;E17),1)+IF(AND(J16=2,J18=2,G16&gt;E18),1)+IF(AND(J16=3,J14=3,C16&gt;E14),1)+IF(AND(J16=3,J15=3,D16&gt;E15),1)+IF(AND(J16=3,J17=3,F16&gt;E17),1)+IF(AND(J16=3,J18=3,G16&gt;E18),1)</f>
        <v>0</v>
      </c>
      <c r="L16" s="1305">
        <f>IF(AND(J16=1,J14=1),C16-E14)+IF(AND(J16=1,J15=1),D16-E15)+IF(AND(J16=1,J17=1),F16-E17)+IF(AND(J16=1,J18=1),G16-E18)+IF(AND(J16=2,J14=2),C16-E14)+IF(AND(J16=2,J15=2),D16-E15)+IF(AND(J16=2,J17=2),F16-E17)+IF(AND(J16=2,J18=2),G16-E18)+IF(AND(J16=3,J14=3),C16-E14)+IF(AND(J16=3,J15=3),D16-E15)+IF(AND(J16=3,J17=3),F16-E17)+IF(AND(J16=3,J18=3),G16-E18)</f>
        <v>0</v>
      </c>
      <c r="M16" s="515">
        <f t="shared" si="3"/>
        <v>20000</v>
      </c>
      <c r="N16"/>
    </row>
    <row r="17" spans="1:14" s="498" customFormat="1" x14ac:dyDescent="0.2">
      <c r="A17" s="500">
        <v>4</v>
      </c>
      <c r="B17" s="521" t="s">
        <v>119</v>
      </c>
      <c r="C17" s="510">
        <v>6</v>
      </c>
      <c r="D17" s="520">
        <v>12</v>
      </c>
      <c r="E17" s="510">
        <v>9</v>
      </c>
      <c r="F17" s="509"/>
      <c r="G17" s="522"/>
      <c r="H17" s="511" t="str">
        <f>(IF(C17-F14&gt;0,1)+IF(D17-F15&gt;0,1)+IF(E17-F16&gt;0,1)+IF(G17-F18&gt;0,1))&amp;"-"&amp;(IF(C17-F14&lt;0,1)+IF(D17-F15&lt;0,1)+IF(E17-F16&lt;0,1)+IF(G17-F18&lt;0,1))</f>
        <v>0-3</v>
      </c>
      <c r="I17" s="510" t="str">
        <f>IF(AND(B17&lt;&gt;"",M$13=TRUE),A$13&amp;RANK(M17,M$14:M$18,0),"")</f>
        <v>B4</v>
      </c>
      <c r="J17" s="512">
        <f t="shared" si="2"/>
        <v>0</v>
      </c>
      <c r="K17" s="639">
        <f>IF(AND(J17=1,J14=1,C17&gt;F14),1)+IF(AND(J17=1,J15=1,D17&gt;F15),1)+IF(AND(J17=1,J16=1,E17&gt;F16),1)+IF(AND(J17=1,J18=1,G17&gt;F18),1)+IF(AND(J17=2,J14=2,C17&gt;F14),1)+IF(AND(J17=2,J15=2,D17&gt;F15),1)+IF(AND(J17=2,J16=2,E17&gt;F16),1)+IF(AND(J17=2,J18=2,G17&gt;F18),1)+IF(AND(J17=3,J14=3,C17&gt;F14),1)+IF(AND(J17=3,J15=3,D17&gt;F15),1)+IF(AND(J17=3,J16=3,E17&gt;F16),1)+IF(AND(J17=3,J18=3,G17&gt;F18),1)</f>
        <v>0</v>
      </c>
      <c r="L17" s="1305">
        <f>IF(AND(J17=1,J14=1),C17-F14)+IF(AND(J17=1,J15=1),D17-F15)+IF(AND(J17=1,J16=1),E17-F16)+IF(AND(J17=1,J18=1),G17-F18)+IF(AND(J17=2,J14=2),C17-F14)+IF(AND(J17=2,J15=2),D17-F15)+IF(AND(J17=2,J16=2),E17-F16)+IF(AND(J17=2,J18=2),G17-F18)+IF(AND(J17=3,J14=3),C17-F14)+IF(AND(J17=3,J15=3),D17-F15)+IF(AND(J17=3,J16=3),E17-F16)+IF(AND(J17=3,J18=3),G17-F18)</f>
        <v>0</v>
      </c>
      <c r="M17" s="515">
        <f t="shared" si="3"/>
        <v>0</v>
      </c>
      <c r="N17"/>
    </row>
    <row r="18" spans="1:14" s="498" customFormat="1" hidden="1" x14ac:dyDescent="0.2">
      <c r="A18" s="500">
        <v>5</v>
      </c>
      <c r="B18" s="521"/>
      <c r="C18" s="510"/>
      <c r="D18" s="510"/>
      <c r="E18" s="510"/>
      <c r="F18" s="510"/>
      <c r="G18" s="509"/>
      <c r="H18" s="511" t="str">
        <f>(IF(C18-G14&gt;0,1)+IF(D18-G15&gt;0,1)+IF(E18-G16&gt;0,1)+IF(F18-G17&gt;0,1))&amp;"-"&amp;(IF(C18-G14&lt;0,1)+IF(D18-G15&lt;0,1)+IF(E18-G16&lt;0,1)+IF(F18-G17&lt;0,1))</f>
        <v>0-0</v>
      </c>
      <c r="I18" s="510" t="str">
        <f>IF(AND(B18&lt;&gt;"",M$13=TRUE),A$13&amp;RANK(M18,M$14:M$18,0),"")</f>
        <v/>
      </c>
      <c r="J18" s="512">
        <f t="shared" si="2"/>
        <v>0</v>
      </c>
      <c r="K18" s="639">
        <f>IF(AND(J18=1,J14=1,C18&gt;G14),1)+IF(AND(J18=1,J15=1,D18&gt;G15),1)+IF(AND(J18=1,J16=1,E18&gt;G16),1)+IF(AND(J18=1,J17=1,F18&gt;G17),1)+IF(AND(J18=2,J14=2,C18&gt;G14),1)+IF(AND(J18=2,J15=2,D18&gt;G15),1)+IF(AND(J18=2,J16=2,E18&gt;G16),1)+IF(AND(J18=2,J17=2,F18&gt;G17),1)+IF(AND(J18=3,J14=3,C18&gt;G14),1)+IF(AND(J18=3,J15=3,D18&gt;G15),1)+IF(AND(J18=3,J16=3,E18&gt;G16),1)+IF(AND(J18=3,J17=3,F18&gt;G17),1)</f>
        <v>0</v>
      </c>
      <c r="L18" s="1305">
        <f>IF(AND(J18=1,J14=1),C18-G14)+IF(AND(J18=1,J15=1),D18-G15)+IF(AND(J18=1,J16=1),E18-G16)+IF(AND(J18=1,J17=1),F18-G17)+IF(AND(J18=2,J14=2),C18-G14)+IF(AND(J18=2,J15=2),D18-G15)+IF(AND(J18=2,J16=2),E18-G16)+IF(AND(J18=2,J17=2),F18-G17)+IF(AND(J18=3,J14=3),C18-G14)+IF(AND(J18=3,J15=3),D18-G15)+IF(AND(J18=3,J16=3),E18-G16)+IF(AND(J18=3,J17=3),F18-G17)</f>
        <v>0</v>
      </c>
      <c r="M18" s="515">
        <f t="shared" si="3"/>
        <v>0</v>
      </c>
      <c r="N18"/>
    </row>
    <row r="19" spans="1:14" s="506" customFormat="1" x14ac:dyDescent="0.2">
      <c r="A19" s="523"/>
      <c r="B19" s="524"/>
      <c r="C19" s="525"/>
      <c r="D19" s="526"/>
      <c r="E19" s="525"/>
      <c r="F19" s="527"/>
      <c r="H19" s="528"/>
      <c r="I19" s="529"/>
      <c r="J19" s="496"/>
      <c r="K19" s="537"/>
      <c r="L19" s="531"/>
      <c r="M19" s="496"/>
      <c r="N19"/>
    </row>
    <row r="20" spans="1:14" s="498" customFormat="1" x14ac:dyDescent="0.2">
      <c r="A20" s="500" t="s">
        <v>142</v>
      </c>
      <c r="B20" s="501"/>
      <c r="C20" s="502">
        <v>1</v>
      </c>
      <c r="D20" s="502">
        <v>2</v>
      </c>
      <c r="E20" s="502">
        <v>3</v>
      </c>
      <c r="F20" s="502">
        <v>4</v>
      </c>
      <c r="G20" s="502"/>
      <c r="H20" s="501" t="s">
        <v>363</v>
      </c>
      <c r="I20" s="501" t="s">
        <v>26</v>
      </c>
      <c r="J20" s="533" t="s">
        <v>156</v>
      </c>
      <c r="K20" s="504" t="s">
        <v>156</v>
      </c>
      <c r="L20" s="534" t="s">
        <v>364</v>
      </c>
      <c r="M20" s="535" t="b">
        <f>OR(AND(COUNTA(B21:B25)=3,COUNTA(C21:G25)=6),AND(COUNTA(B21:B25)=4,COUNTA(C21:G25)=12),AND(COUNTA(B21:B25)=5,COUNTA(C21:G25)=20))</f>
        <v>1</v>
      </c>
      <c r="N20"/>
    </row>
    <row r="21" spans="1:14" s="498" customFormat="1" x14ac:dyDescent="0.2">
      <c r="A21" s="500">
        <v>1</v>
      </c>
      <c r="B21" s="508" t="s">
        <v>101</v>
      </c>
      <c r="C21" s="509"/>
      <c r="D21" s="510">
        <v>13</v>
      </c>
      <c r="E21" s="510">
        <v>9</v>
      </c>
      <c r="F21" s="851">
        <v>13</v>
      </c>
      <c r="G21" s="510"/>
      <c r="H21" s="511" t="str">
        <f>(IF(D21-C22&gt;0,1)+IF(E21-C23&gt;0,1)+IF(F21-C24&gt;0,1)+IF(G21-C25&gt;0,1))&amp;"-"&amp;(IF(D21-C22&lt;0,1)+IF(E21-C23&lt;0,1)+IF(F21-C24&lt;0,1)+IF(G21-C25&lt;0,1))</f>
        <v>2-1</v>
      </c>
      <c r="I21" s="510" t="str">
        <f>IF(AND(B21&lt;&gt;"",M$20=TRUE),A$20&amp;RANK(M21,M$21:M$25,0),"")</f>
        <v>C1</v>
      </c>
      <c r="J21" s="512">
        <f>VALUE(LEFT(H21,1))</f>
        <v>2</v>
      </c>
      <c r="K21" s="513">
        <f>IF(AND(J21=1,J22=1,D21&gt;C22),1)+IF(AND(J21=1,J23=1,E21&gt;C23),1)+IF(AND(J21=1,J24=1,F21&gt;C24),1)+IF(AND(J21=1,J25=1,G21&gt;C25),1)+IF(AND(J21=2,J22=2,D21&gt;C22),1)+IF(AND(J21=2,J23=2,E21&gt;C23),1)+IF(AND(J21=2,J24=2,F21&gt;C24),1)+IF(AND(J21=2,J25=2,G21&gt;C25),1)+IF(AND(J21=3,J22=3,D21&gt;C22),1)+IF(AND(J21=3,J23=3,E21&gt;C23),1)+IF(AND(J21=3,J24=3,F21&gt;C24),1)+IF(AND(J21=3,J25=3,G21&gt;C25),1)</f>
        <v>1</v>
      </c>
      <c r="L21" s="1306">
        <f>IF(AND(J21=1,J22=1),D21-C22)+IF(AND(J21=1,J23=1),E21-C23)+IF(AND(J21=1,J24=1),F21-C24)+IF(AND(J21=1,J25=1),G21-C25)+IF(AND(J21=2,J22=2),D21-C22)+IF(AND(J21=2,J23=2),E21-C23)+IF(AND(J21=2,J24=2),F21-C24)+IF(AND(J21=2,J25=2),G21-C25)+IF(AND(J21=3,J22=3),D21-C22)+IF(AND(J21=3,J23=3),E21-C23)+IF(AND(J21=3,J24=3),F21-C24)+IF(AND(J21=3,J25=3),G21-C25)</f>
        <v>1</v>
      </c>
      <c r="M21" s="515">
        <f>10000*J21+K21*100+L21</f>
        <v>20101</v>
      </c>
      <c r="N21"/>
    </row>
    <row r="22" spans="1:14" s="498" customFormat="1" x14ac:dyDescent="0.2">
      <c r="A22" s="500">
        <v>2</v>
      </c>
      <c r="B22" s="518" t="s">
        <v>93</v>
      </c>
      <c r="C22" s="510">
        <v>6</v>
      </c>
      <c r="D22" s="509"/>
      <c r="E22" s="852">
        <v>13</v>
      </c>
      <c r="F22" s="510">
        <v>12</v>
      </c>
      <c r="G22" s="510"/>
      <c r="H22" s="511" t="str">
        <f>(IF(C22-D21&gt;0,1)+IF(E22-D23&gt;0,1)+IF(F22-D24&gt;0,1)+IF(G22-D25&gt;0,1))&amp;"-"&amp;(IF(C22-D21&lt;0,1)+IF(E22-D23&lt;0,1)+IF(F22-D24&lt;0,1)+IF(G22-D25&lt;0,1))</f>
        <v>1-2</v>
      </c>
      <c r="I22" s="510" t="str">
        <f>IF(AND(B22&lt;&gt;"",M$20=TRUE),A$20&amp;RANK(M22,M$21:M$25,0),"")</f>
        <v>C3</v>
      </c>
      <c r="J22" s="512">
        <f t="shared" ref="J22:J25" si="4">VALUE(LEFT(H22,1))</f>
        <v>1</v>
      </c>
      <c r="K22" s="639">
        <f>IF(AND(J22=1,J21=1,C22&gt;D21),1)+IF(AND(J22=1,J23=1,E22&gt;D23),1)+IF(AND(J22=1,J24=1,F22&gt;D24),1)+IF(AND(J22=1,J25=1,G22&gt;D25),1)+IF(AND(J22=2,J21=2,C22&gt;D21),1)+IF(AND(J22=2,J23=2,E22&gt;D23),1)+IF(AND(J22=2,J24=2,F22&gt;D24),1)+IF(AND(J22=2,J25=2,G22&gt;D25),1)+IF(AND(J22=3,J21=3,C22&gt;D21),1)+IF(AND(J22=3,J23=3,E22&gt;D23),1)+IF(AND(J22=3,J24=3,F22&gt;D24),1)+IF(AND(J22=3,J25=3,G22&gt;D25),1)</f>
        <v>1</v>
      </c>
      <c r="L22" s="1307">
        <f>IF(AND(J22=1,J21=1),C22-D21)+IF(AND(J22=1,J23=1),E22-D23)+IF(AND(J22=1,J24=1),F22-D24)+IF(AND(J22=1,J25=1),G22-D25)+IF(AND(J22=2,J21=2),C22-D21)+IF(AND(J22=2,J23=2),E22-D23)+IF(AND(J22=2,J24=2),F22-D24)+IF(AND(J22=2,J25=2),G22-D25)+IF(AND(J22=3,J21=3),C22-D21)+IF(AND(J22=3,J23=3),E22-D23)+IF(AND(J22=3,J24=3),F22-D24)+IF(AND(J22=3,J25=3),G22-D25)</f>
        <v>1</v>
      </c>
      <c r="M22" s="515">
        <f t="shared" ref="M22:M25" si="5">10000*J22+K22*100+L22</f>
        <v>10101</v>
      </c>
      <c r="N22"/>
    </row>
    <row r="23" spans="1:14" s="498" customFormat="1" x14ac:dyDescent="0.2">
      <c r="A23" s="500">
        <v>3</v>
      </c>
      <c r="B23" s="518" t="s">
        <v>99</v>
      </c>
      <c r="C23" s="510">
        <v>13</v>
      </c>
      <c r="D23" s="853">
        <v>12</v>
      </c>
      <c r="E23" s="509"/>
      <c r="F23" s="510">
        <v>5</v>
      </c>
      <c r="G23" s="510"/>
      <c r="H23" s="511" t="str">
        <f>(IF(C23-E21&gt;0,1)+IF(D23-E22&gt;0,1)+IF(F23-E24&gt;0,1)+IF(G23-E25&gt;0,1))&amp;"-"&amp;(IF(C23-E21&lt;0,1)+IF(D23-E22&lt;0,1)+IF(F23-E24&lt;0,1)+IF(G23-E25&lt;0,1))</f>
        <v>1-2</v>
      </c>
      <c r="I23" s="510" t="str">
        <f>IF(AND(B23&lt;&gt;"",M$20=TRUE),A$20&amp;RANK(M23,M$21:M$25,0),"")</f>
        <v>C4</v>
      </c>
      <c r="J23" s="512">
        <f t="shared" si="4"/>
        <v>1</v>
      </c>
      <c r="K23" s="639">
        <f>IF(AND(J23=1,J21=1,C23&gt;E21),1)+IF(AND(J23=1,J22=1,D23&gt;E22),1)+IF(AND(J23=1,J24=1,F23&gt;E24),1)+IF(AND(J23=1,J25=1,G23&gt;E25),1)+IF(AND(J23=2,J21=2,C23&gt;E21),1)+IF(AND(J23=2,J22=2,D23&gt;E22),1)+IF(AND(J23=2,J24=2,F23&gt;E24),1)+IF(AND(J23=2,J25=2,G23&gt;E25),1)+IF(AND(J23=3,J21=3,C23&gt;E21),1)+IF(AND(J23=3,J22=3,D23&gt;E22),1)+IF(AND(J23=3,J24=3,F23&gt;E24),1)+IF(AND(J23=3,J25=3,G23&gt;E25),1)</f>
        <v>0</v>
      </c>
      <c r="L23" s="1307">
        <f>IF(AND(J23=1,J21=1),C23-E21)+IF(AND(J23=1,J22=1),D23-E22)+IF(AND(J23=1,J24=1),F23-E24)+IF(AND(J23=1,J25=1),G23-E25)+IF(AND(J23=2,J21=2),C23-E21)+IF(AND(J23=2,J22=2),D23-E22)+IF(AND(J23=2,J24=2),F23-E24)+IF(AND(J23=2,J25=2),G23-E25)+IF(AND(J23=3,J21=3),C23-E21)+IF(AND(J23=3,J22=3),D23-E22)+IF(AND(J23=3,J24=3),F23-E24)+IF(AND(J23=3,J25=3),G23-E25)</f>
        <v>-1</v>
      </c>
      <c r="M23" s="515">
        <f t="shared" si="5"/>
        <v>9999</v>
      </c>
      <c r="N23"/>
    </row>
    <row r="24" spans="1:14" s="498" customFormat="1" x14ac:dyDescent="0.2">
      <c r="A24" s="500">
        <v>4</v>
      </c>
      <c r="B24" s="518" t="s">
        <v>90</v>
      </c>
      <c r="C24" s="851">
        <v>12</v>
      </c>
      <c r="D24" s="520">
        <v>13</v>
      </c>
      <c r="E24" s="510">
        <v>13</v>
      </c>
      <c r="F24" s="509"/>
      <c r="G24" s="522"/>
      <c r="H24" s="511" t="str">
        <f>(IF(C24-F21&gt;0,1)+IF(D24-F22&gt;0,1)+IF(E24-F23&gt;0,1)+IF(G24-F25&gt;0,1))&amp;"-"&amp;(IF(C24-F21&lt;0,1)+IF(D24-F22&lt;0,1)+IF(E24-F23&lt;0,1)+IF(G24-F25&lt;0,1))</f>
        <v>2-1</v>
      </c>
      <c r="I24" s="510" t="str">
        <f>IF(AND(B24&lt;&gt;"",M$20=TRUE),A$20&amp;RANK(M24,M$21:M$25,0),"")</f>
        <v>C2</v>
      </c>
      <c r="J24" s="512">
        <f t="shared" si="4"/>
        <v>2</v>
      </c>
      <c r="K24" s="639">
        <f>IF(AND(J24=1,J21=1,C24&gt;F21),1)+IF(AND(J24=1,J22=1,D24&gt;F22),1)+IF(AND(J24=1,J23=1,E24&gt;F23),1)+IF(AND(J24=1,J25=1,G24&gt;F25),1)+IF(AND(J24=2,J21=2,C24&gt;F21),1)+IF(AND(J24=2,J22=2,D24&gt;F22),1)+IF(AND(J24=2,J23=2,E24&gt;F23),1)+IF(AND(J24=2,J25=2,G24&gt;F25),1)+IF(AND(J24=3,J21=3,C24&gt;F21),1)+IF(AND(J24=3,J22=3,D24&gt;F22),1)+IF(AND(J24=3,J23=3,E24&gt;F23),1)+IF(AND(J24=3,J25=3,G24&gt;F25),1)</f>
        <v>0</v>
      </c>
      <c r="L24" s="1306">
        <f>IF(AND(J24=1,J21=1),C24-F21)+IF(AND(J24=1,J22=1),D24-F22)+IF(AND(J24=1,J23=1),E24-F23)+IF(AND(J24=1,J25=1),G24-F25)+IF(AND(J24=2,J21=2),C24-F21)+IF(AND(J24=2,J22=2),D24-F22)+IF(AND(J24=2,J23=2),E24-F23)+IF(AND(J24=2,J25=2),G24-F25)+IF(AND(J24=3,J21=3),C24-F21)+IF(AND(J24=3,J22=3),D24-F22)+IF(AND(J24=3,J23=3),E24-F23)+IF(AND(J24=3,J25=3),G24-F25)</f>
        <v>-1</v>
      </c>
      <c r="M24" s="515">
        <f t="shared" si="5"/>
        <v>19999</v>
      </c>
      <c r="N24"/>
    </row>
    <row r="25" spans="1:14" s="498" customFormat="1" hidden="1" x14ac:dyDescent="0.2">
      <c r="A25" s="500">
        <v>5</v>
      </c>
      <c r="B25" s="521"/>
      <c r="C25" s="510"/>
      <c r="D25" s="510"/>
      <c r="E25" s="510"/>
      <c r="F25" s="510"/>
      <c r="G25" s="509"/>
      <c r="H25" s="511" t="str">
        <f>(IF(C25-G21&gt;0,1)+IF(D25-G22&gt;0,1)+IF(E25-G23&gt;0,1)+IF(F25-G24&gt;0,1))&amp;"-"&amp;(IF(C25-G21&lt;0,1)+IF(D25-G22&lt;0,1)+IF(E25-G23&lt;0,1)+IF(F25-G24&lt;0,1))</f>
        <v>0-0</v>
      </c>
      <c r="I25" s="510" t="str">
        <f>IF(AND(B25&lt;&gt;"",M$20=TRUE),A$20&amp;RANK(M25,M$21:M$25,0),"")</f>
        <v/>
      </c>
      <c r="J25" s="512">
        <f t="shared" si="4"/>
        <v>0</v>
      </c>
      <c r="K25" s="639">
        <f>IF(AND(J25=1,J21=1,C25&gt;G21),1)+IF(AND(J25=1,J22=1,D25&gt;G22),1)+IF(AND(J25=1,J23=1,E25&gt;G23),1)+IF(AND(J25=1,J24=1,F25&gt;G24),1)+IF(AND(J25=2,J21=2,C25&gt;G21),1)+IF(AND(J25=2,J22=2,D25&gt;G22),1)+IF(AND(J25=2,J23=2,E25&gt;G23),1)+IF(AND(J25=2,J24=2,F25&gt;G24),1)+IF(AND(J25=3,J21=3,C25&gt;G21),1)+IF(AND(J25=3,J22=3,D25&gt;G22),1)+IF(AND(J25=3,J23=3,E25&gt;G23),1)+IF(AND(J25=3,J24=3,F25&gt;G24),1)</f>
        <v>0</v>
      </c>
      <c r="L25" s="514">
        <f>IF(AND(J25=1,J21=1),C25-G21)+IF(AND(J25=1,J22=1),D25-G22)+IF(AND(J25=1,J23=1),E25-G23)+IF(AND(J25=1,J24=1),F25-G24)+IF(AND(J25=2,J21=2),C25-G21)+IF(AND(J25=2,J22=2),D25-G22)+IF(AND(J25=2,J23=2),E25-G23)+IF(AND(J25=2,J24=2),F25-G24)+IF(AND(J25=3,J21=3),C25-G21)+IF(AND(J25=3,J22=3),D25-G22)+IF(AND(J25=3,J23=3),E25-G23)+IF(AND(J25=3,J24=3),F25-G24)</f>
        <v>0</v>
      </c>
      <c r="M25" s="515">
        <f t="shared" si="5"/>
        <v>0</v>
      </c>
      <c r="N25"/>
    </row>
    <row r="26" spans="1:14" s="498" customFormat="1" x14ac:dyDescent="0.2">
      <c r="A26" s="538"/>
      <c r="B26" s="539"/>
      <c r="C26" s="540"/>
      <c r="D26" s="540"/>
      <c r="E26" s="540"/>
      <c r="F26" s="641"/>
      <c r="G26" s="641"/>
      <c r="H26" s="541"/>
      <c r="I26" s="542"/>
      <c r="J26" s="642"/>
      <c r="K26" s="530"/>
      <c r="L26" s="643"/>
      <c r="M26" s="642"/>
      <c r="N26"/>
    </row>
    <row r="27" spans="1:14" s="506" customFormat="1" x14ac:dyDescent="0.2">
      <c r="A27" s="500" t="s">
        <v>143</v>
      </c>
      <c r="B27" s="501"/>
      <c r="C27" s="502">
        <v>1</v>
      </c>
      <c r="D27" s="502">
        <v>2</v>
      </c>
      <c r="E27" s="502">
        <v>3</v>
      </c>
      <c r="F27" s="502">
        <v>4</v>
      </c>
      <c r="G27" s="502">
        <v>5</v>
      </c>
      <c r="H27" s="501" t="s">
        <v>363</v>
      </c>
      <c r="I27" s="501" t="s">
        <v>26</v>
      </c>
      <c r="J27" s="533" t="s">
        <v>156</v>
      </c>
      <c r="K27" s="504" t="s">
        <v>156</v>
      </c>
      <c r="L27" s="534" t="s">
        <v>364</v>
      </c>
      <c r="M27" s="535" t="b">
        <f>OR(AND(COUNTA(B28:B32)=3,COUNTA(C28:G32)=6),AND(COUNTA(B28:B32)=4,COUNTA(C28:G32)=12),AND(COUNTA(B28:B32)=5,COUNTA(C28:G32)=20))</f>
        <v>1</v>
      </c>
      <c r="N27"/>
    </row>
    <row r="28" spans="1:14" s="506" customFormat="1" x14ac:dyDescent="0.2">
      <c r="A28" s="500">
        <v>1</v>
      </c>
      <c r="B28" s="508" t="s">
        <v>89</v>
      </c>
      <c r="C28" s="509"/>
      <c r="D28" s="510">
        <v>13</v>
      </c>
      <c r="E28" s="510">
        <v>13</v>
      </c>
      <c r="F28" s="510">
        <v>13</v>
      </c>
      <c r="G28" s="510">
        <v>13</v>
      </c>
      <c r="H28" s="511" t="str">
        <f>(IF(D28-C29&gt;0,1)+IF(E28-C30&gt;0,1)+IF(F28-C31&gt;0,1)+IF(G28-C32&gt;0,1))&amp;"-"&amp;(IF(D28-C29&lt;0,1)+IF(E28-C30&lt;0,1)+IF(F28-C31&lt;0,1)+IF(G28-C32&lt;0,1))</f>
        <v>4-0</v>
      </c>
      <c r="I28" s="510" t="str">
        <f>IF(AND(B28&lt;&gt;"",M$27=TRUE),A$27&amp;RANK(M28,M$28:M$32,0),"")</f>
        <v>D1</v>
      </c>
      <c r="J28" s="512">
        <f>VALUE(LEFT(H28,1))</f>
        <v>4</v>
      </c>
      <c r="K28" s="513">
        <f>IF(AND(J28=1,J29=1,D28&gt;C29),1)+IF(AND(J28=1,J30=1,E28&gt;C30),1)+IF(AND(J28=1,J31=1,F28&gt;C31),1)+IF(AND(J28=1,J32=1,G28&gt;C32),1)+IF(AND(J28=2,J29=2,D28&gt;C29),1)+IF(AND(J28=2,J30=2,E28&gt;C30),1)+IF(AND(J28=2,J31=2,F28&gt;C31),1)+IF(AND(J28=2,J32=2,G28&gt;C32),1)+IF(AND(J28=3,J29=3,D28&gt;C29),1)+IF(AND(J28=3,J30=3,E28&gt;C30),1)+IF(AND(J28=3,J31=3,F28&gt;C31),1)+IF(AND(J28=3,J32=3,G28&gt;C32),1)</f>
        <v>0</v>
      </c>
      <c r="L28" s="1305">
        <f>IF(AND(J28=1,J29=1),D28-C29)+IF(AND(J28=1,J30=1),E28-C30)+IF(AND(J28=1,J31=1),F28-C31)+IF(AND(J28=1,J32=1),G28-C32)+IF(AND(J28=2,J29=2),D28-C29)+IF(AND(J28=2,J30=2),E28-C30)+IF(AND(J28=2,J31=2),F28-C31)+IF(AND(J28=2,J32=2),G28-C32)+IF(AND(J28=3,J29=3),D28-C29)+IF(AND(J28=3,J30=3),E28-C30)+IF(AND(J28=3,J31=3),F28-C31)+IF(AND(J28=3,J32=3),G28-C32)</f>
        <v>0</v>
      </c>
      <c r="M28" s="515">
        <f>10000*J28+K28*100+L28</f>
        <v>40000</v>
      </c>
      <c r="N28"/>
    </row>
    <row r="29" spans="1:14" s="506" customFormat="1" x14ac:dyDescent="0.2">
      <c r="A29" s="500">
        <v>2</v>
      </c>
      <c r="B29" s="518" t="s">
        <v>96</v>
      </c>
      <c r="C29" s="510">
        <v>8</v>
      </c>
      <c r="D29" s="509"/>
      <c r="E29" s="852">
        <v>13</v>
      </c>
      <c r="F29" s="510">
        <v>5</v>
      </c>
      <c r="G29" s="852">
        <v>11</v>
      </c>
      <c r="H29" s="511" t="str">
        <f>(IF(C29-D28&gt;0,1)+IF(E29-D30&gt;0,1)+IF(F29-D31&gt;0,1)+IF(G29-D32&gt;0,1))&amp;"-"&amp;(IF(C29-D28&lt;0,1)+IF(E29-D30&lt;0,1)+IF(F29-D31&lt;0,1)+IF(G29-D32&lt;0,1))</f>
        <v>1-3</v>
      </c>
      <c r="I29" s="510" t="str">
        <f>IF(AND(B29&lt;&gt;"",M$27=TRUE),A$27&amp;RANK(M29,M$28:M$32,0),"")</f>
        <v>D3</v>
      </c>
      <c r="J29" s="512">
        <f t="shared" ref="J29:J32" si="6">VALUE(LEFT(H29,1))</f>
        <v>1</v>
      </c>
      <c r="K29" s="639">
        <f>IF(AND(J29=1,J28=1,C29&gt;D28),1)+IF(AND(J29=1,J30=1,E29&gt;D30),1)+IF(AND(J29=1,J31=1,F29&gt;D31),1)+IF(AND(J29=1,J32=1,G29&gt;D32),1)+IF(AND(J29=2,J28=2,C29&gt;D28),1)+IF(AND(J29=2,J30=2,E29&gt;D30),1)+IF(AND(J29=2,J31=2,F29&gt;D31),1)+IF(AND(J29=2,J32=2,G29&gt;D32),1)+IF(AND(J29=3,J28=3,C29&gt;D28),1)+IF(AND(J29=3,J30=3,E29&gt;D30),1)+IF(AND(J29=3,J31=3,F29&gt;D31),1)+IF(AND(J29=3,J32=3,G29&gt;D32),1)</f>
        <v>1</v>
      </c>
      <c r="L29" s="1307">
        <f>IF(AND(J29=1,J28=1),C29-D28)+IF(AND(J29=1,J30=1),E29-D30)+IF(AND(J29=1,J31=1),F29-D31)+IF(AND(J29=1,J32=1),G29-D32)+IF(AND(J29=2,J28=2),C29-D28)+IF(AND(J29=2,J30=2),E29-D30)+IF(AND(J29=2,J31=2),F29-D31)+IF(AND(J29=2,J32=2),G29-D32)+IF(AND(J29=3,J28=3),C29-D28)+IF(AND(J29=3,J30=3),E29-D30)+IF(AND(J29=3,J31=3),F29-D31)+IF(AND(J29=3,J32=3),G29-D32)</f>
        <v>6</v>
      </c>
      <c r="M29" s="515">
        <f t="shared" ref="M29:M32" si="7">10000*J29+K29*100+L29</f>
        <v>10106</v>
      </c>
      <c r="N29"/>
    </row>
    <row r="30" spans="1:14" s="506" customFormat="1" x14ac:dyDescent="0.2">
      <c r="A30" s="500">
        <v>3</v>
      </c>
      <c r="B30" s="518" t="s">
        <v>102</v>
      </c>
      <c r="C30" s="510">
        <v>3</v>
      </c>
      <c r="D30" s="853">
        <v>5</v>
      </c>
      <c r="E30" s="509"/>
      <c r="F30" s="510">
        <v>7</v>
      </c>
      <c r="G30" s="852">
        <v>13</v>
      </c>
      <c r="H30" s="511" t="str">
        <f>(IF(C30-E28&gt;0,1)+IF(D30-E29&gt;0,1)+IF(F30-E31&gt;0,1)+IF(G30-E32&gt;0,1))&amp;"-"&amp;(IF(C30-E28&lt;0,1)+IF(D30-E29&lt;0,1)+IF(F30-E31&lt;0,1)+IF(G30-E32&lt;0,1))</f>
        <v>1-3</v>
      </c>
      <c r="I30" s="510" t="str">
        <f>IF(AND(B30&lt;&gt;"",M$27=TRUE),A$27&amp;RANK(M30,M$28:M$32,0),"")</f>
        <v>D4</v>
      </c>
      <c r="J30" s="512">
        <f t="shared" si="6"/>
        <v>1</v>
      </c>
      <c r="K30" s="639">
        <f>IF(AND(J30=1,J28=1,C30&gt;E28),1)+IF(AND(J30=1,J29=1,D30&gt;E29),1)+IF(AND(J30=1,J31=1,F30&gt;E31),1)+IF(AND(J30=1,J32=1,G30&gt;E32),1)+IF(AND(J30=2,J28=2,C30&gt;E28),1)+IF(AND(J30=2,J29=2,D30&gt;E29),1)+IF(AND(J30=2,J31=2,F30&gt;E31),1)+IF(AND(J30=2,J32=2,G30&gt;E32),1)+IF(AND(J30=3,J28=3,C30&gt;E28),1)+IF(AND(J30=3,J29=3,D30&gt;E29),1)+IF(AND(J30=3,J31=3,F30&gt;E31),1)+IF(AND(J30=3,J32=3,G30&gt;E32),1)</f>
        <v>1</v>
      </c>
      <c r="L30" s="1307">
        <f>IF(AND(J30=1,J28=1),C30-E28)+IF(AND(J30=1,J29=1),D30-E29)+IF(AND(J30=1,J31=1),F30-E31)+IF(AND(J30=1,J32=1),G30-E32)+IF(AND(J30=2,J28=2),C30-E28)+IF(AND(J30=2,J29=2),D30-E29)+IF(AND(J30=2,J31=2),F30-E31)+IF(AND(J30=2,J32=2),G30-E32)+IF(AND(J30=3,J28=3),C30-E28)+IF(AND(J30=3,J29=3),D30-E29)+IF(AND(J30=3,J31=3),F30-E31)+IF(AND(J30=3,J32=3),G30-E32)</f>
        <v>0</v>
      </c>
      <c r="M30" s="515">
        <f t="shared" si="7"/>
        <v>10100</v>
      </c>
      <c r="N30"/>
    </row>
    <row r="31" spans="1:14" s="506" customFormat="1" x14ac:dyDescent="0.2">
      <c r="A31" s="500">
        <v>4</v>
      </c>
      <c r="B31" s="521" t="s">
        <v>95</v>
      </c>
      <c r="C31" s="510">
        <v>12</v>
      </c>
      <c r="D31" s="520">
        <v>13</v>
      </c>
      <c r="E31" s="510">
        <v>13</v>
      </c>
      <c r="F31" s="509"/>
      <c r="G31" s="522">
        <v>13</v>
      </c>
      <c r="H31" s="511" t="str">
        <f>(IF(C31-F28&gt;0,1)+IF(D31-F29&gt;0,1)+IF(E31-F30&gt;0,1)+IF(G31-F32&gt;0,1))&amp;"-"&amp;(IF(C31-F28&lt;0,1)+IF(D31-F29&lt;0,1)+IF(E31-F30&lt;0,1)+IF(G31-F32&lt;0,1))</f>
        <v>3-1</v>
      </c>
      <c r="I31" s="510" t="str">
        <f>IF(AND(B31&lt;&gt;"",M$27=TRUE),A$27&amp;RANK(M31,M$28:M$32,0),"")</f>
        <v>D2</v>
      </c>
      <c r="J31" s="512">
        <f t="shared" si="6"/>
        <v>3</v>
      </c>
      <c r="K31" s="639">
        <f>IF(AND(J31=1,J28=1,C31&gt;F28),1)+IF(AND(J31=1,J29=1,D31&gt;F29),1)+IF(AND(J31=1,J30=1,E31&gt;F30),1)+IF(AND(J31=1,J32=1,G31&gt;F32),1)+IF(AND(J31=2,J28=2,C31&gt;F28),1)+IF(AND(J31=2,J29=2,D31&gt;F29),1)+IF(AND(J31=2,J30=2,E31&gt;F30),1)+IF(AND(J31=2,J32=2,G31&gt;F32),1)+IF(AND(J31=3,J28=3,C31&gt;F28),1)+IF(AND(J31=3,J29=3,D31&gt;F29),1)+IF(AND(J31=3,J30=3,E31&gt;F30),1)+IF(AND(J31=3,J32=3,G31&gt;F32),1)</f>
        <v>0</v>
      </c>
      <c r="L31" s="1305">
        <f>IF(AND(J31=1,J28=1),C31-F28)+IF(AND(J31=1,J29=1),D31-F29)+IF(AND(J31=1,J30=1),E31-F30)+IF(AND(J31=1,J32=1),G31-F32)+IF(AND(J31=2,J28=2),C31-F28)+IF(AND(J31=2,J29=2),D31-F29)+IF(AND(J31=2,J30=2),E31-F30)+IF(AND(J31=2,J32=2),G31-F32)+IF(AND(J31=3,J28=3),C31-F28)+IF(AND(J31=3,J29=3),D31-F29)+IF(AND(J31=3,J30=3),E31-F30)+IF(AND(J31=3,J32=3),G31-F32)</f>
        <v>0</v>
      </c>
      <c r="M31" s="515">
        <f t="shared" si="7"/>
        <v>30000</v>
      </c>
      <c r="N31"/>
    </row>
    <row r="32" spans="1:14" s="506" customFormat="1" x14ac:dyDescent="0.2">
      <c r="A32" s="500">
        <v>5</v>
      </c>
      <c r="B32" s="521" t="s">
        <v>118</v>
      </c>
      <c r="C32" s="510">
        <v>2</v>
      </c>
      <c r="D32" s="852">
        <v>13</v>
      </c>
      <c r="E32" s="852">
        <v>5</v>
      </c>
      <c r="F32" s="510">
        <v>7</v>
      </c>
      <c r="G32" s="509"/>
      <c r="H32" s="511" t="str">
        <f>(IF(C32-G28&gt;0,1)+IF(D32-G29&gt;0,1)+IF(E32-G30&gt;0,1)+IF(F32-G31&gt;0,1))&amp;"-"&amp;(IF(C32-G28&lt;0,1)+IF(D32-G29&lt;0,1)+IF(E32-G30&lt;0,1)+IF(F32-G31&lt;0,1))</f>
        <v>1-3</v>
      </c>
      <c r="I32" s="510" t="str">
        <f>IF(AND(B32&lt;&gt;"",M$27=TRUE),A$27&amp;RANK(M32,M$28:M$32,0),"")</f>
        <v>D5</v>
      </c>
      <c r="J32" s="512">
        <f t="shared" si="6"/>
        <v>1</v>
      </c>
      <c r="K32" s="639">
        <f>IF(AND(J32=1,J28=1,C32&gt;G28),1)+IF(AND(J32=1,J29=1,D32&gt;G29),1)+IF(AND(J32=1,J30=1,E32&gt;G30),1)+IF(AND(J32=1,J31=1,F32&gt;G31),1)+IF(AND(J32=2,J28=2,C32&gt;G28),1)+IF(AND(J32=2,J29=2,D32&gt;G29),1)+IF(AND(J32=2,J30=2,E32&gt;G30),1)+IF(AND(J32=2,J31=2,F32&gt;G31),1)+IF(AND(J32=3,J28=3,C32&gt;G28),1)+IF(AND(J32=3,J29=3,D32&gt;G29),1)+IF(AND(J32=3,J30=3,E32&gt;G30),1)+IF(AND(J32=3,J31=3,F32&gt;G31),1)</f>
        <v>1</v>
      </c>
      <c r="L32" s="1307">
        <f>IF(AND(J32=1,J28=1),C32-G28)+IF(AND(J32=1,J29=1),D32-G29)+IF(AND(J32=1,J30=1),E32-G30)+IF(AND(J32=1,J31=1),F32-G31)+IF(AND(J32=2,J28=2),C32-G28)+IF(AND(J32=2,J29=2),D32-G29)+IF(AND(J32=2,J30=2),E32-G30)+IF(AND(J32=2,J31=2),F32-G31)+IF(AND(J32=3,J28=3),C32-G28)+IF(AND(J32=3,J29=3),D32-G29)+IF(AND(J32=3,J30=3),E32-G30)+IF(AND(J32=3,J31=3),F32-G31)</f>
        <v>-6</v>
      </c>
      <c r="M32" s="515">
        <f t="shared" si="7"/>
        <v>10094</v>
      </c>
      <c r="N32"/>
    </row>
    <row r="33" spans="1:14" s="506" customFormat="1" hidden="1" x14ac:dyDescent="0.2">
      <c r="A33" s="523"/>
      <c r="F33" s="545"/>
      <c r="H33" s="546"/>
      <c r="I33" s="547"/>
      <c r="J33" s="535"/>
      <c r="K33" s="542"/>
      <c r="L33" s="548"/>
      <c r="M33" s="535"/>
      <c r="N33"/>
    </row>
    <row r="34" spans="1:14" s="506" customFormat="1" hidden="1" x14ac:dyDescent="0.2">
      <c r="A34" s="500" t="s">
        <v>144</v>
      </c>
      <c r="B34" s="501"/>
      <c r="C34" s="502">
        <v>1</v>
      </c>
      <c r="D34" s="502">
        <v>2</v>
      </c>
      <c r="E34" s="502">
        <v>3</v>
      </c>
      <c r="F34" s="502">
        <v>4</v>
      </c>
      <c r="G34" s="502">
        <v>5</v>
      </c>
      <c r="H34" s="502" t="s">
        <v>363</v>
      </c>
      <c r="I34" s="501" t="s">
        <v>26</v>
      </c>
      <c r="J34" s="503" t="s">
        <v>156</v>
      </c>
      <c r="K34" s="504" t="s">
        <v>156</v>
      </c>
      <c r="L34" s="505" t="s">
        <v>364</v>
      </c>
      <c r="M34" s="506" t="b">
        <f>OR(AND(COUNTA(B35:B39)=3,COUNTA(C35:G39)=6),AND(COUNTA(B35:B39)=4,COUNTA(C35:G39)=12),AND(COUNTA(B35:B39)=5,COUNTA(C35:G39)=20))</f>
        <v>0</v>
      </c>
      <c r="N34"/>
    </row>
    <row r="35" spans="1:14" s="506" customFormat="1" hidden="1" x14ac:dyDescent="0.2">
      <c r="A35" s="500">
        <v>1</v>
      </c>
      <c r="B35" s="508"/>
      <c r="C35" s="509"/>
      <c r="D35" s="510"/>
      <c r="E35" s="510"/>
      <c r="F35" s="510"/>
      <c r="G35" s="510"/>
      <c r="H35" s="511" t="str">
        <f>(IF(D35-C36&gt;0,1)+IF(E35-C37&gt;0,1)+IF(F35-C38&gt;0,1)+IF(G35-C39&gt;0,1))&amp;"-"&amp;(IF(D35-C36&lt;0,1)+IF(E35-C37&lt;0,1)+IF(F35-C38&lt;0,1)+IF(G35-C39&lt;0,1))</f>
        <v>0-0</v>
      </c>
      <c r="I35" s="510" t="str">
        <f>IF(AND(B35&lt;&gt;"",M$35=TRUE),A$35&amp;RANK(M35,M$36:M$40,0),"")</f>
        <v/>
      </c>
      <c r="J35" s="512">
        <f>VALUE(LEFT(H35,1))</f>
        <v>0</v>
      </c>
      <c r="K35" s="513">
        <f>IF(AND(J35=1,J36=1,D35&gt;C36),1)+IF(AND(J35=1,J37=1,E35&gt;C37),1)+IF(AND(J35=1,J38=1,F35&gt;C38),1)+IF(AND(J35=1,J39=1,G35&gt;C39),1)+IF(AND(J35=2,J36=2,D35&gt;C36),1)+IF(AND(J35=2,J37=2,E35&gt;C37),1)+IF(AND(J35=2,J38=2,F35&gt;C38),1)+IF(AND(J35=2,J39=2,G35&gt;C39),1)+IF(AND(J35=3,J36=3,D35&gt;C36),1)+IF(AND(J35=3,J37=3,E35&gt;C37),1)+IF(AND(J35=3,J38=3,F35&gt;C38),1)+IF(AND(J35=3,J39=3,G35&gt;C39),1)</f>
        <v>0</v>
      </c>
      <c r="L35" s="1305">
        <f>IF(AND(J35=1,J36=1),D35-C36)+IF(AND(J35=1,J37=1),E35-C37)+IF(AND(J35=1,J38=1),F35-C38)+IF(AND(J35=1,J39=1),G35-C39)+IF(AND(J35=2,J36=2),D35-C36)+IF(AND(J35=2,J37=2),E35-C37)+IF(AND(J35=2,J38=2),F35-C38)+IF(AND(J35=2,J39=2),G35-C39)+IF(AND(J35=3,J36=3),D35-C36)+IF(AND(J35=3,J37=3),E35-C37)+IF(AND(J35=3,J38=3),F35-C38)+IF(AND(J35=3,J39=3),G35-C39)</f>
        <v>0</v>
      </c>
      <c r="M35" s="515">
        <f>10000*J35+K35*100+L35</f>
        <v>0</v>
      </c>
      <c r="N35"/>
    </row>
    <row r="36" spans="1:14" s="506" customFormat="1" hidden="1" x14ac:dyDescent="0.2">
      <c r="A36" s="500">
        <v>2</v>
      </c>
      <c r="B36" s="518"/>
      <c r="C36" s="510"/>
      <c r="D36" s="509"/>
      <c r="E36" s="510"/>
      <c r="F36" s="510"/>
      <c r="G36" s="510"/>
      <c r="H36" s="511" t="str">
        <f>(IF(C36-D35&gt;0,1)+IF(E36-D37&gt;0,1)+IF(F36-D38&gt;0,1)+IF(G36-D39&gt;0,1))&amp;"-"&amp;(IF(C36-D35&lt;0,1)+IF(E36-D37&lt;0,1)+IF(F36-D38&lt;0,1)+IF(G36-D39&lt;0,1))</f>
        <v>0-0</v>
      </c>
      <c r="I36" s="510" t="str">
        <f>IF(AND(B36&lt;&gt;"",M$35=TRUE),A$35&amp;RANK(M36,M$36:M$40,0),"")</f>
        <v/>
      </c>
      <c r="J36" s="512">
        <f t="shared" ref="J36:J39" si="8">VALUE(LEFT(H36,1))</f>
        <v>0</v>
      </c>
      <c r="K36" s="639">
        <f>IF(AND(J36=1,J35=1,C36&gt;D35),1)+IF(AND(J36=1,J37=1,E36&gt;D37),1)+IF(AND(J36=1,J38=1,F36&gt;D38),1)+IF(AND(J36=1,J39=1,G36&gt;D39),1)+IF(AND(J36=2,J35=2,C36&gt;D35),1)+IF(AND(J36=2,J37=2,E36&gt;D37),1)+IF(AND(J36=2,J38=2,F36&gt;D38),1)+IF(AND(J36=2,J39=2,G36&gt;D39),1)+IF(AND(J36=3,J35=3,C36&gt;D35),1)+IF(AND(J36=3,J37=3,E36&gt;D37),1)+IF(AND(J36=3,J38=3,F36&gt;D38),1)+IF(AND(J36=3,J39=3,G36&gt;D39),1)</f>
        <v>0</v>
      </c>
      <c r="L36" s="1305">
        <f>IF(AND(J36=1,J35=1),C36-D35)+IF(AND(J36=1,J37=1),E36-D37)+IF(AND(J36=1,J38=1),F36-D38)+IF(AND(J36=1,J39=1),G36-D39)+IF(AND(J36=2,J35=2),C36-D35)+IF(AND(J36=2,J37=2),E36-D37)+IF(AND(J36=2,J38=2),F36-D38)+IF(AND(J36=2,J39=2),G36-D39)+IF(AND(J36=3,J35=3),C36-D35)+IF(AND(J36=3,J37=3),E36-D37)+IF(AND(J36=3,J38=3),F36-D38)+IF(AND(J36=3,J39=3),G36-D39)</f>
        <v>0</v>
      </c>
      <c r="M36" s="515">
        <f t="shared" ref="M36:M39" si="9">10000*J36+K36*100+L36</f>
        <v>0</v>
      </c>
      <c r="N36"/>
    </row>
    <row r="37" spans="1:14" s="506" customFormat="1" hidden="1" x14ac:dyDescent="0.2">
      <c r="A37" s="500">
        <v>3</v>
      </c>
      <c r="B37" s="518"/>
      <c r="C37" s="510"/>
      <c r="D37" s="520"/>
      <c r="E37" s="509"/>
      <c r="F37" s="510"/>
      <c r="G37" s="510"/>
      <c r="H37" s="511" t="str">
        <f>(IF(C37-E35&gt;0,1)+IF(D37-E36&gt;0,1)+IF(F37-E38&gt;0,1)+IF(G37-E39&gt;0,1))&amp;"-"&amp;(IF(C37-E35&lt;0,1)+IF(D37-E36&lt;0,1)+IF(F37-E38&lt;0,1)+IF(G37-E39&lt;0,1))</f>
        <v>0-0</v>
      </c>
      <c r="I37" s="510" t="str">
        <f>IF(AND(B37&lt;&gt;"",M$35=TRUE),A$35&amp;RANK(M37,M$36:M$40,0),"")</f>
        <v/>
      </c>
      <c r="J37" s="512">
        <f t="shared" si="8"/>
        <v>0</v>
      </c>
      <c r="K37" s="639">
        <f>IF(AND(J37=1,J35=1,C37&gt;E35),1)+IF(AND(J37=1,J36=1,D37&gt;E36),1)+IF(AND(J37=1,J38=1,F37&gt;E38),1)+IF(AND(J37=1,J39=1,G37&gt;E39),1)+IF(AND(J37=2,J35=2,C37&gt;E35),1)+IF(AND(J37=2,J36=2,D37&gt;E36),1)+IF(AND(J37=2,J38=2,F37&gt;E38),1)+IF(AND(J37=2,J39=2,G37&gt;E39),1)+IF(AND(J37=3,J35=3,C37&gt;E35),1)+IF(AND(J37=3,J36=3,D37&gt;E36),1)+IF(AND(J37=3,J38=3,F37&gt;E38),1)+IF(AND(J37=3,J39=3,G37&gt;E39),1)</f>
        <v>0</v>
      </c>
      <c r="L37" s="1305">
        <f>IF(AND(J37=1,J35=1),C37-E35)+IF(AND(J37=1,J36=1),D37-E36)+IF(AND(J37=1,J38=1),F37-E38)+IF(AND(J37=1,J39=1),G37-E39)+IF(AND(J37=2,J35=2),C37-E35)+IF(AND(J37=2,J36=2),D37-E36)+IF(AND(J37=2,J38=2),F37-E38)+IF(AND(J37=2,J39=2),G37-E39)+IF(AND(J37=3,J35=3),C37-E35)+IF(AND(J37=3,J36=3),D37-E36)+IF(AND(J37=3,J38=3),F37-E38)+IF(AND(J37=3,J39=3),G37-E39)</f>
        <v>0</v>
      </c>
      <c r="M37" s="515">
        <f t="shared" si="9"/>
        <v>0</v>
      </c>
      <c r="N37"/>
    </row>
    <row r="38" spans="1:14" s="506" customFormat="1" hidden="1" x14ac:dyDescent="0.2">
      <c r="A38" s="500">
        <v>4</v>
      </c>
      <c r="B38" s="521"/>
      <c r="C38" s="510"/>
      <c r="D38" s="520"/>
      <c r="E38" s="510"/>
      <c r="F38" s="509"/>
      <c r="G38" s="522"/>
      <c r="H38" s="511" t="str">
        <f>(IF(C38-F35&gt;0,1)+IF(D38-F36&gt;0,1)+IF(E38-F37&gt;0,1)+IF(G38-F39&gt;0,1))&amp;"-"&amp;(IF(C38-F35&lt;0,1)+IF(D38-F36&lt;0,1)+IF(E38-F37&lt;0,1)+IF(G38-F39&lt;0,1))</f>
        <v>0-0</v>
      </c>
      <c r="I38" s="510" t="str">
        <f>IF(AND(B38&lt;&gt;"",M$35=TRUE),A$35&amp;RANK(M38,M$36:M$40,0),"")</f>
        <v/>
      </c>
      <c r="J38" s="512">
        <f t="shared" si="8"/>
        <v>0</v>
      </c>
      <c r="K38" s="639">
        <f>IF(AND(J38=1,J35=1,C38&gt;F35),1)+IF(AND(J38=1,J36=1,D38&gt;F36),1)+IF(AND(J38=1,J37=1,E38&gt;F37),1)+IF(AND(J38=1,J39=1,G38&gt;F39),1)+IF(AND(J38=2,J35=2,C38&gt;F35),1)+IF(AND(J38=2,J36=2,D38&gt;F36),1)+IF(AND(J38=2,J37=2,E38&gt;F37),1)+IF(AND(J38=2,J39=2,G38&gt;F39),1)+IF(AND(J38=3,J35=3,C38&gt;F35),1)+IF(AND(J38=3,J36=3,D38&gt;F36),1)+IF(AND(J38=3,J37=3,E38&gt;F37),1)+IF(AND(J38=3,J39=3,G38&gt;F39),1)</f>
        <v>0</v>
      </c>
      <c r="L38" s="1305">
        <f>IF(AND(J38=1,J35=1),C38-F35)+IF(AND(J38=1,J36=1),D38-F36)+IF(AND(J38=1,J37=1),E38-F37)+IF(AND(J38=1,J39=1),G38-F39)+IF(AND(J38=2,J35=2),C38-F35)+IF(AND(J38=2,J36=2),D38-F36)+IF(AND(J38=2,J37=2),E38-F37)+IF(AND(J38=2,J39=2),G38-F39)+IF(AND(J38=3,J35=3),C38-F35)+IF(AND(J38=3,J36=3),D38-F36)+IF(AND(J38=3,J37=3),E38-F37)+IF(AND(J38=3,J39=3),G38-F39)</f>
        <v>0</v>
      </c>
      <c r="M38" s="515">
        <f t="shared" si="9"/>
        <v>0</v>
      </c>
      <c r="N38"/>
    </row>
    <row r="39" spans="1:14" s="506" customFormat="1" hidden="1" x14ac:dyDescent="0.2">
      <c r="A39" s="500">
        <v>5</v>
      </c>
      <c r="B39" s="521"/>
      <c r="C39" s="510"/>
      <c r="D39" s="510"/>
      <c r="E39" s="510"/>
      <c r="F39" s="510"/>
      <c r="G39" s="509"/>
      <c r="H39" s="511" t="str">
        <f>(IF(C39-G35&gt;0,1)+IF(D39-G36&gt;0,1)+IF(E39-G37&gt;0,1)+IF(F39-G38&gt;0,1))&amp;"-"&amp;(IF(C39-G35&lt;0,1)+IF(D39-G36&lt;0,1)+IF(E39-G37&lt;0,1)+IF(F39-G38&lt;0,1))</f>
        <v>0-0</v>
      </c>
      <c r="I39" s="510" t="str">
        <f>IF(AND(B39&lt;&gt;"",M$35=TRUE),A$35&amp;RANK(M39,M$36:M$40,0),"")</f>
        <v/>
      </c>
      <c r="J39" s="512">
        <f t="shared" si="8"/>
        <v>0</v>
      </c>
      <c r="K39" s="639">
        <f>IF(AND(J39=1,J35=1,C39&gt;G35),1)+IF(AND(J39=1,J36=1,D39&gt;G36),1)+IF(AND(J39=1,J37=1,E39&gt;G37),1)+IF(AND(J39=1,J38=1,F39&gt;G38),1)+IF(AND(J39=2,J35=2,C39&gt;G35),1)+IF(AND(J39=2,J36=2,D39&gt;G36),1)+IF(AND(J39=2,J37=2,E39&gt;G37),1)+IF(AND(J39=2,J38=2,F39&gt;G38),1)+IF(AND(J39=3,J35=3,C39&gt;G35),1)+IF(AND(J39=3,J36=3,D39&gt;G36),1)+IF(AND(J39=3,J37=3,E39&gt;G37),1)+IF(AND(J39=3,J38=3,F39&gt;G38),1)</f>
        <v>0</v>
      </c>
      <c r="L39" s="1305">
        <f>IF(AND(J39=1,J35=1),C39-G35)+IF(AND(J39=1,J36=1),D39-G36)+IF(AND(J39=1,J37=1),E39-G37)+IF(AND(J39=1,J38=1),F39-G38)+IF(AND(J39=2,J35=2),C39-G35)+IF(AND(J39=2,J36=2),D39-G36)+IF(AND(J39=2,J37=2),E39-G37)+IF(AND(J39=2,J38=2),F39-G38)+IF(AND(J39=3,J35=3),C39-G35)+IF(AND(J39=3,J36=3),D39-G36)+IF(AND(J39=3,J37=3),E39-G37)+IF(AND(J39=3,J38=3),F39-G38)</f>
        <v>0</v>
      </c>
      <c r="M39" s="515">
        <f t="shared" si="9"/>
        <v>0</v>
      </c>
      <c r="N39"/>
    </row>
    <row r="40" spans="1:14" s="506" customFormat="1" hidden="1" x14ac:dyDescent="0.2">
      <c r="A40" s="523"/>
      <c r="B40" s="524"/>
      <c r="C40" s="525"/>
      <c r="D40" s="526"/>
      <c r="E40" s="525"/>
      <c r="F40" s="527"/>
      <c r="H40" s="528"/>
      <c r="I40" s="529"/>
      <c r="J40" s="496"/>
      <c r="K40" s="530"/>
      <c r="L40" s="531"/>
      <c r="M40" s="496"/>
      <c r="N40"/>
    </row>
    <row r="41" spans="1:14" s="498" customFormat="1" hidden="1" x14ac:dyDescent="0.2">
      <c r="A41" s="500" t="s">
        <v>145</v>
      </c>
      <c r="B41" s="501"/>
      <c r="C41" s="502">
        <v>1</v>
      </c>
      <c r="D41" s="502">
        <v>2</v>
      </c>
      <c r="E41" s="502">
        <v>3</v>
      </c>
      <c r="F41" s="502">
        <v>4</v>
      </c>
      <c r="G41" s="502"/>
      <c r="H41" s="501" t="s">
        <v>363</v>
      </c>
      <c r="I41" s="501" t="s">
        <v>26</v>
      </c>
      <c r="J41" s="533" t="s">
        <v>156</v>
      </c>
      <c r="K41" s="504" t="s">
        <v>156</v>
      </c>
      <c r="L41" s="534" t="s">
        <v>364</v>
      </c>
      <c r="M41" s="535" t="b">
        <f>OR(AND(COUNTA(B42:B46)=3,COUNTA(C42:G46)=6),AND(COUNTA(B42:B46)=4,COUNTA(C42:G46)=12),AND(COUNTA(B42:B46)=5,COUNTA(C42:G46)=20))</f>
        <v>0</v>
      </c>
      <c r="N41"/>
    </row>
    <row r="42" spans="1:14" s="498" customFormat="1" hidden="1" x14ac:dyDescent="0.2">
      <c r="A42" s="500">
        <v>1</v>
      </c>
      <c r="B42" s="508"/>
      <c r="C42" s="509"/>
      <c r="D42" s="510"/>
      <c r="E42" s="510"/>
      <c r="F42" s="510"/>
      <c r="G42" s="510"/>
      <c r="H42" s="511" t="str">
        <f>(IF(D42-C43&gt;0,1)+IF(E42-C44&gt;0,1)+IF(F42-C45&gt;0,1)+IF(G42-C46&gt;0,1))&amp;"-"&amp;(IF(D42-C43&lt;0,1)+IF(E42-C44&lt;0,1)+IF(F42-C45&lt;0,1)+IF(G42-C46&lt;0,1))</f>
        <v>0-0</v>
      </c>
      <c r="I42" s="510" t="str">
        <f>IF(AND(B42&lt;&gt;"",M$42=TRUE),A$42&amp;RANK(M42,M$43:VM$47,0),"")</f>
        <v/>
      </c>
      <c r="J42" s="512">
        <f>VALUE(LEFT(H42,1))</f>
        <v>0</v>
      </c>
      <c r="K42" s="513">
        <f>IF(AND(J42=1,J43=1,D42&gt;C43),1)+IF(AND(J42=1,J44=1,E42&gt;C44),1)+IF(AND(J42=1,J45=1,F42&gt;C45),1)+IF(AND(J42=1,J46=1,G42&gt;C46),1)+IF(AND(J42=2,J43=2,D42&gt;C43),1)+IF(AND(J42=2,J44=2,E42&gt;C44),1)+IF(AND(J42=2,J45=2,F42&gt;C45),1)+IF(AND(J42=2,J46=2,G42&gt;C46),1)+IF(AND(J42=3,J43=3,D42&gt;C43),1)+IF(AND(J42=3,J44=3,E42&gt;C44),1)+IF(AND(J42=3,J45=3,F42&gt;C45),1)+IF(AND(J42=3,J46=3,G42&gt;C46),1)</f>
        <v>0</v>
      </c>
      <c r="L42" s="1305">
        <f>IF(AND(J42=1,J43=1),D42-C43)+IF(AND(J42=1,J44=1),E42-C44)+IF(AND(J42=1,J45=1),F42-C45)+IF(AND(J42=1,J46=1),G42-C46)+IF(AND(J42=2,J43=2),D42-C43)+IF(AND(J42=2,J44=2),E42-C44)+IF(AND(J42=2,J45=2),F42-C45)+IF(AND(J42=2,J46=2),G42-C46)+IF(AND(J42=3,J43=3),D42-C43)+IF(AND(J42=3,J44=3),E42-C44)+IF(AND(J42=3,J45=3),F42-C45)+IF(AND(J42=3,J46=3),G42-C46)</f>
        <v>0</v>
      </c>
      <c r="M42" s="515">
        <f>10000*J42+K42*100+L42</f>
        <v>0</v>
      </c>
      <c r="N42"/>
    </row>
    <row r="43" spans="1:14" s="498" customFormat="1" hidden="1" x14ac:dyDescent="0.2">
      <c r="A43" s="500">
        <v>2</v>
      </c>
      <c r="B43" s="518"/>
      <c r="C43" s="510"/>
      <c r="D43" s="509"/>
      <c r="E43" s="510"/>
      <c r="F43" s="510"/>
      <c r="G43" s="510"/>
      <c r="H43" s="511" t="str">
        <f>(IF(C43-D42&gt;0,1)+IF(E43-D44&gt;0,1)+IF(F43-D45&gt;0,1)+IF(G43-D46&gt;0,1))&amp;"-"&amp;(IF(C43-D42&lt;0,1)+IF(E43-D44&lt;0,1)+IF(F43-D45&lt;0,1)+IF(G43-D46&lt;0,1))</f>
        <v>0-0</v>
      </c>
      <c r="I43" s="510" t="str">
        <f>IF(AND(B43&lt;&gt;"",M$42=TRUE),A$42&amp;RANK(M43,M$43:VM$47,0),"")</f>
        <v/>
      </c>
      <c r="J43" s="512">
        <f t="shared" ref="J43:J46" si="10">VALUE(LEFT(H43,1))</f>
        <v>0</v>
      </c>
      <c r="K43" s="639">
        <f>IF(AND(J43=1,J42=1,C43&gt;D42),1)+IF(AND(J43=1,J44=1,E43&gt;D44),1)+IF(AND(J43=1,J45=1,F43&gt;D45),1)+IF(AND(J43=1,J46=1,G43&gt;D46),1)+IF(AND(J43=2,J42=2,C43&gt;D42),1)+IF(AND(J43=2,J44=2,E43&gt;D44),1)+IF(AND(J43=2,J45=2,F43&gt;D45),1)+IF(AND(J43=2,J46=2,G43&gt;D46),1)+IF(AND(J43=3,J42=3,C43&gt;D42),1)+IF(AND(J43=3,J44=3,E43&gt;D44),1)+IF(AND(J43=3,J45=3,F43&gt;D45),1)+IF(AND(J43=3,J46=3,G43&gt;D46),1)</f>
        <v>0</v>
      </c>
      <c r="L43" s="1305">
        <f>IF(AND(J43=1,J42=1),C43-D42)+IF(AND(J43=1,J44=1),E43-D44)+IF(AND(J43=1,J45=1),F43-D45)+IF(AND(J43=1,J46=1),G43-D46)+IF(AND(J43=2,J42=2),C43-D42)+IF(AND(J43=2,J44=2),E43-D44)+IF(AND(J43=2,J45=2),F43-D45)+IF(AND(J43=2,J46=2),G43-D46)+IF(AND(J43=3,J42=3),C43-D42)+IF(AND(J43=3,J44=3),E43-D44)+IF(AND(J43=3,J45=3),F43-D45)+IF(AND(J43=3,J46=3),G43-D46)</f>
        <v>0</v>
      </c>
      <c r="M43" s="515">
        <f t="shared" ref="M43:M46" si="11">10000*J43+K43*100+L43</f>
        <v>0</v>
      </c>
      <c r="N43"/>
    </row>
    <row r="44" spans="1:14" s="498" customFormat="1" hidden="1" x14ac:dyDescent="0.2">
      <c r="A44" s="500">
        <v>3</v>
      </c>
      <c r="B44" s="518"/>
      <c r="C44" s="510"/>
      <c r="D44" s="520"/>
      <c r="E44" s="509"/>
      <c r="F44" s="510"/>
      <c r="G44" s="510"/>
      <c r="H44" s="511" t="str">
        <f>(IF(C44-E42&gt;0,1)+IF(D44-E43&gt;0,1)+IF(F44-E45&gt;0,1)+IF(G44-E46&gt;0,1))&amp;"-"&amp;(IF(C44-E42&lt;0,1)+IF(D44-E43&lt;0,1)+IF(F44-E45&lt;0,1)+IF(G44-E46&lt;0,1))</f>
        <v>0-0</v>
      </c>
      <c r="I44" s="510" t="str">
        <f>IF(AND(B44&lt;&gt;"",M$42=TRUE),A$42&amp;RANK(M44,M$43:VM$47,0),"")</f>
        <v/>
      </c>
      <c r="J44" s="512">
        <f t="shared" si="10"/>
        <v>0</v>
      </c>
      <c r="K44" s="639">
        <f>IF(AND(J44=1,J42=1,C44&gt;E42),1)+IF(AND(J44=1,J43=1,D44&gt;E43),1)+IF(AND(J44=1,J45=1,F44&gt;E45),1)+IF(AND(J44=1,J46=1,G44&gt;E46),1)+IF(AND(J44=2,J42=2,C44&gt;E42),1)+IF(AND(J44=2,J43=2,D44&gt;E43),1)+IF(AND(J44=2,J45=2,F44&gt;E45),1)+IF(AND(J44=2,J46=2,G44&gt;E46),1)+IF(AND(J44=3,J42=3,C44&gt;E42),1)+IF(AND(J44=3,J43=3,D44&gt;E43),1)+IF(AND(J44=3,J45=3,F44&gt;E45),1)+IF(AND(J44=3,J46=3,G44&gt;E46),1)</f>
        <v>0</v>
      </c>
      <c r="L44" s="1305">
        <f>IF(AND(J44=1,J42=1),C44-E42)+IF(AND(J44=1,J43=1),D44-E43)+IF(AND(J44=1,J45=1),F44-E45)+IF(AND(J44=1,J46=1),G44-E46)+IF(AND(J44=2,J42=2),C44-E42)+IF(AND(J44=2,J43=2),D44-E43)+IF(AND(J44=2,J45=2),F44-E45)+IF(AND(J44=2,J46=2),G44-E46)+IF(AND(J44=3,J42=3),C44-E42)+IF(AND(J44=3,J43=3),D44-E43)+IF(AND(J44=3,J45=3),F44-E45)+IF(AND(J44=3,J46=3),G44-E46)</f>
        <v>0</v>
      </c>
      <c r="M44" s="515">
        <f t="shared" si="11"/>
        <v>0</v>
      </c>
      <c r="N44"/>
    </row>
    <row r="45" spans="1:14" s="498" customFormat="1" hidden="1" x14ac:dyDescent="0.2">
      <c r="A45" s="500">
        <v>4</v>
      </c>
      <c r="B45" s="521"/>
      <c r="C45" s="510"/>
      <c r="D45" s="520"/>
      <c r="E45" s="510"/>
      <c r="F45" s="509"/>
      <c r="G45" s="522"/>
      <c r="H45" s="511" t="str">
        <f>(IF(C45-F42&gt;0,1)+IF(D45-F43&gt;0,1)+IF(E45-F44&gt;0,1)+IF(G45-F46&gt;0,1))&amp;"-"&amp;(IF(C45-F42&lt;0,1)+IF(D45-F43&lt;0,1)+IF(E45-F44&lt;0,1)+IF(G45-F46&lt;0,1))</f>
        <v>0-0</v>
      </c>
      <c r="I45" s="510" t="str">
        <f>IF(AND(B45&lt;&gt;"",M$42=TRUE),A$42&amp;RANK(M45,M$43:VM$47,0),"")</f>
        <v/>
      </c>
      <c r="J45" s="512">
        <f t="shared" si="10"/>
        <v>0</v>
      </c>
      <c r="K45" s="639">
        <f>IF(AND(J45=1,J42=1,C45&gt;F42),1)+IF(AND(J45=1,J43=1,D45&gt;F43),1)+IF(AND(J45=1,J44=1,E45&gt;F44),1)+IF(AND(J45=1,J46=1,G45&gt;F46),1)+IF(AND(J45=2,J42=2,C45&gt;F42),1)+IF(AND(J45=2,J43=2,D45&gt;F43),1)+IF(AND(J45=2,J44=2,E45&gt;F44),1)+IF(AND(J45=2,J46=2,G45&gt;F46),1)+IF(AND(J45=3,J42=3,C45&gt;F42),1)+IF(AND(J45=3,J43=3,D45&gt;F43),1)+IF(AND(J45=3,J44=3,E45&gt;F44),1)+IF(AND(J45=3,J46=3,G45&gt;F46),1)</f>
        <v>0</v>
      </c>
      <c r="L45" s="1305">
        <f>IF(AND(J45=1,J42=1),C45-F42)+IF(AND(J45=1,J43=1),D45-F43)+IF(AND(J45=1,J44=1),E45-F44)+IF(AND(J45=1,J46=1),G45-F46)+IF(AND(J45=2,J42=2),C45-F42)+IF(AND(J45=2,J43=2),D45-F43)+IF(AND(J45=2,J44=2),E45-F44)+IF(AND(J45=2,J46=2),G45-F46)+IF(AND(J45=3,J42=3),C45-F42)+IF(AND(J45=3,J43=3),D45-F43)+IF(AND(J45=3,J44=3),E45-F44)+IF(AND(J45=3,J46=3),G45-F46)</f>
        <v>0</v>
      </c>
      <c r="M45" s="515">
        <f t="shared" si="11"/>
        <v>0</v>
      </c>
      <c r="N45"/>
    </row>
    <row r="46" spans="1:14" s="498" customFormat="1" hidden="1" x14ac:dyDescent="0.2">
      <c r="A46" s="500">
        <v>5</v>
      </c>
      <c r="B46" s="521"/>
      <c r="C46" s="510"/>
      <c r="D46" s="510"/>
      <c r="E46" s="510"/>
      <c r="F46" s="510"/>
      <c r="G46" s="509"/>
      <c r="H46" s="511" t="str">
        <f>(IF(C46-G42&gt;0,1)+IF(D46-G43&gt;0,1)+IF(E46-G44&gt;0,1)+IF(F46-G45&gt;0,1))&amp;"-"&amp;(IF(C46-G42&lt;0,1)+IF(D46-G43&lt;0,1)+IF(E46-G44&lt;0,1)+IF(F46-G45&lt;0,1))</f>
        <v>0-0</v>
      </c>
      <c r="I46" s="510" t="str">
        <f>IF(AND(B46&lt;&gt;"",M$42=TRUE),A$42&amp;RANK(M46,M$43:VM$47,0),"")</f>
        <v/>
      </c>
      <c r="J46" s="512">
        <f t="shared" si="10"/>
        <v>0</v>
      </c>
      <c r="K46" s="639">
        <f>IF(AND(J46=1,J42=1,C46&gt;G42),1)+IF(AND(J46=1,J43=1,D46&gt;G43),1)+IF(AND(J46=1,J44=1,E46&gt;G44),1)+IF(AND(J46=1,J45=1,F46&gt;G45),1)+IF(AND(J46=2,J42=2,C46&gt;G42),1)+IF(AND(J46=2,J43=2,D46&gt;G43),1)+IF(AND(J46=2,J44=2,E46&gt;G44),1)+IF(AND(J46=2,J45=2,F46&gt;G45),1)+IF(AND(J46=3,J42=3,C46&gt;G42),1)+IF(AND(J46=3,J43=3,D46&gt;G43),1)+IF(AND(J46=3,J44=3,E46&gt;G44),1)+IF(AND(J46=3,J45=3,F46&gt;G45),1)</f>
        <v>0</v>
      </c>
      <c r="L46" s="1305">
        <f>IF(AND(J46=1,J42=1),C46-G42)+IF(AND(J46=1,J43=1),D46-G43)+IF(AND(J46=1,J44=1),E46-G44)+IF(AND(J46=1,J45=1),F46-G45)+IF(AND(J46=2,J42=2),C46-G42)+IF(AND(J46=2,J43=2),D46-G43)+IF(AND(J46=2,J44=2),E46-G44)+IF(AND(J46=2,J45=2),F46-G45)+IF(AND(J46=3,J42=3),C46-G42)+IF(AND(J46=3,J43=3),D46-G43)+IF(AND(J46=3,J44=3),E46-G44)+IF(AND(J46=3,J45=3),F46-G45)</f>
        <v>0</v>
      </c>
      <c r="M46" s="515">
        <f t="shared" si="11"/>
        <v>0</v>
      </c>
      <c r="N46"/>
    </row>
    <row r="47" spans="1:14" s="506" customFormat="1" hidden="1" x14ac:dyDescent="0.2">
      <c r="A47" s="523"/>
      <c r="B47" s="524"/>
      <c r="C47" s="525"/>
      <c r="D47" s="526"/>
      <c r="E47" s="525"/>
      <c r="F47" s="527"/>
      <c r="H47" s="528"/>
      <c r="I47" s="529"/>
      <c r="J47" s="496"/>
      <c r="K47" s="537"/>
      <c r="L47" s="531"/>
      <c r="M47" s="496"/>
      <c r="N47"/>
    </row>
    <row r="48" spans="1:14" s="498" customFormat="1" hidden="1" x14ac:dyDescent="0.2">
      <c r="A48" s="500" t="s">
        <v>146</v>
      </c>
      <c r="B48" s="501"/>
      <c r="C48" s="502">
        <v>1</v>
      </c>
      <c r="D48" s="502">
        <v>2</v>
      </c>
      <c r="E48" s="502">
        <v>3</v>
      </c>
      <c r="F48" s="502">
        <v>4</v>
      </c>
      <c r="G48" s="502"/>
      <c r="H48" s="501" t="s">
        <v>363</v>
      </c>
      <c r="I48" s="501" t="s">
        <v>26</v>
      </c>
      <c r="J48" s="533" t="s">
        <v>156</v>
      </c>
      <c r="K48" s="504" t="s">
        <v>156</v>
      </c>
      <c r="L48" s="534" t="s">
        <v>364</v>
      </c>
      <c r="M48" s="535" t="b">
        <f>OR(AND(COUNTA(B49:B53)=3,COUNTA(C49:G53)=6),AND(COUNTA(B49:B53)=4,COUNTA(C49:G53)=12),AND(COUNTA(B49:B53)=5,COUNTA(C49:G53)=20))</f>
        <v>0</v>
      </c>
      <c r="N48"/>
    </row>
    <row r="49" spans="1:14" s="498" customFormat="1" hidden="1" x14ac:dyDescent="0.2">
      <c r="A49" s="500">
        <v>1</v>
      </c>
      <c r="B49" s="508"/>
      <c r="C49" s="509"/>
      <c r="D49" s="510"/>
      <c r="E49" s="510"/>
      <c r="F49" s="510"/>
      <c r="G49" s="510"/>
      <c r="H49" s="511" t="str">
        <f>(IF(D49-C50&gt;0,1)+IF(E49-C51&gt;0,1)+IF(F49-C52&gt;0,1)+IF(G49-C53&gt;0,1))&amp;"-"&amp;(IF(D49-C50&lt;0,1)+IF(E49-C51&lt;0,1)+IF(F49-C52&lt;0,1)+IF(G49-C53&lt;0,1))</f>
        <v>0-0</v>
      </c>
      <c r="I49" s="510" t="str">
        <f>IF(AND(B49&lt;&gt;"",M$49=TRUE),A$49&amp;RANK(M49,M$50:M$54,0),"")</f>
        <v/>
      </c>
      <c r="J49" s="512">
        <f>VALUE(LEFT(H49,1))</f>
        <v>0</v>
      </c>
      <c r="K49" s="513">
        <f>IF(AND(J49=1,J50=1,D49&gt;C50),1)+IF(AND(J49=1,J51=1,E49&gt;C51),1)+IF(AND(J49=1,J52=1,F49&gt;C52),1)+IF(AND(J49=1,J53=1,G49&gt;C53),1)+IF(AND(J49=2,J50=2,D49&gt;C50),1)+IF(AND(J49=2,J51=2,E49&gt;C51),1)+IF(AND(J49=2,J52=2,F49&gt;C52),1)+IF(AND(J49=2,J53=2,G49&gt;C53),1)+IF(AND(J49=3,J50=3,D49&gt;C50),1)+IF(AND(J49=3,J51=3,E49&gt;C51),1)+IF(AND(J49=3,J52=3,F49&gt;C52),1)+IF(AND(J49=3,J53=3,G49&gt;C53),1)</f>
        <v>0</v>
      </c>
      <c r="L49" s="1305">
        <f>IF(AND(J49=1,J50=1),D49-C50)+IF(AND(J49=1,J51=1),E49-C51)+IF(AND(J49=1,J52=1),F49-C52)+IF(AND(J49=1,J53=1),G49-C53)+IF(AND(J49=2,J50=2),D49-C50)+IF(AND(J49=2,J51=2),E49-C51)+IF(AND(J49=2,J52=2),F49-C52)+IF(AND(J49=2,J53=2),G49-C53)+IF(AND(J49=3,J50=3),D49-C50)+IF(AND(J49=3,J51=3),E49-C51)+IF(AND(J49=3,J52=3),F49-C52)+IF(AND(J49=3,J53=3),G49-C53)</f>
        <v>0</v>
      </c>
      <c r="M49" s="515">
        <f>10000*J49+K49*100+L49</f>
        <v>0</v>
      </c>
      <c r="N49"/>
    </row>
    <row r="50" spans="1:14" s="498" customFormat="1" hidden="1" x14ac:dyDescent="0.2">
      <c r="A50" s="500">
        <v>2</v>
      </c>
      <c r="B50" s="518"/>
      <c r="C50" s="510"/>
      <c r="D50" s="509"/>
      <c r="E50" s="510"/>
      <c r="F50" s="510"/>
      <c r="G50" s="510"/>
      <c r="H50" s="511" t="str">
        <f>(IF(C50-D49&gt;0,1)+IF(E50-D51&gt;0,1)+IF(F50-D52&gt;0,1)+IF(G50-D53&gt;0,1))&amp;"-"&amp;(IF(C50-D49&lt;0,1)+IF(E50-D51&lt;0,1)+IF(F50-D52&lt;0,1)+IF(G50-D53&lt;0,1))</f>
        <v>0-0</v>
      </c>
      <c r="I50" s="510" t="str">
        <f>IF(AND(B50&lt;&gt;"",M$49=TRUE),A$49&amp;RANK(M50,M$50:M$54,0),"")</f>
        <v/>
      </c>
      <c r="J50" s="512">
        <f t="shared" ref="J50:J53" si="12">VALUE(LEFT(H50,1))</f>
        <v>0</v>
      </c>
      <c r="K50" s="639">
        <f>IF(AND(J50=1,J49=1,C50&gt;D49),1)+IF(AND(J50=1,J51=1,E50&gt;D51),1)+IF(AND(J50=1,J52=1,F50&gt;D52),1)+IF(AND(J50=1,J53=1,G50&gt;D53),1)+IF(AND(J50=2,J49=2,C50&gt;D49),1)+IF(AND(J50=2,J51=2,E50&gt;D51),1)+IF(AND(J50=2,J52=2,F50&gt;D52),1)+IF(AND(J50=2,J53=2,G50&gt;D53),1)+IF(AND(J50=3,J49=3,C50&gt;D49),1)+IF(AND(J50=3,J51=3,E50&gt;D51),1)+IF(AND(J50=3,J52=3,F50&gt;D52),1)+IF(AND(J50=3,J53=3,G50&gt;D53),1)</f>
        <v>0</v>
      </c>
      <c r="L50" s="1305">
        <f>IF(AND(J50=1,J49=1),C50-D49)+IF(AND(J50=1,J51=1),E50-D51)+IF(AND(J50=1,J52=1),F50-D52)+IF(AND(J50=1,J53=1),G50-D53)+IF(AND(J50=2,J49=2),C50-D49)+IF(AND(J50=2,J51=2),E50-D51)+IF(AND(J50=2,J52=2),F50-D52)+IF(AND(J50=2,J53=2),G50-D53)+IF(AND(J50=3,J49=3),C50-D49)+IF(AND(J50=3,J51=3),E50-D51)+IF(AND(J50=3,J52=3),F50-D52)+IF(AND(J50=3,J53=3),G50-D53)</f>
        <v>0</v>
      </c>
      <c r="M50" s="515">
        <f t="shared" ref="M50:M53" si="13">10000*J50+K50*100+L50</f>
        <v>0</v>
      </c>
      <c r="N50"/>
    </row>
    <row r="51" spans="1:14" s="498" customFormat="1" hidden="1" x14ac:dyDescent="0.2">
      <c r="A51" s="500">
        <v>3</v>
      </c>
      <c r="B51" s="518"/>
      <c r="C51" s="510"/>
      <c r="D51" s="520"/>
      <c r="E51" s="509"/>
      <c r="F51" s="510"/>
      <c r="G51" s="510"/>
      <c r="H51" s="511" t="str">
        <f>(IF(C51-E49&gt;0,1)+IF(D51-E50&gt;0,1)+IF(F51-E52&gt;0,1)+IF(G51-E53&gt;0,1))&amp;"-"&amp;(IF(C51-E49&lt;0,1)+IF(D51-E50&lt;0,1)+IF(F51-E52&lt;0,1)+IF(G51-E53&lt;0,1))</f>
        <v>0-0</v>
      </c>
      <c r="I51" s="510" t="str">
        <f>IF(AND(B51&lt;&gt;"",M$49=TRUE),A$49&amp;RANK(M51,M$50:M$54,0),"")</f>
        <v/>
      </c>
      <c r="J51" s="512">
        <f t="shared" si="12"/>
        <v>0</v>
      </c>
      <c r="K51" s="639">
        <f>IF(AND(J51=1,J49=1,C51&gt;E49),1)+IF(AND(J51=1,J50=1,D51&gt;E50),1)+IF(AND(J51=1,J52=1,F51&gt;E52),1)+IF(AND(J51=1,J53=1,G51&gt;E53),1)+IF(AND(J51=2,J49=2,C51&gt;E49),1)+IF(AND(J51=2,J50=2,D51&gt;E50),1)+IF(AND(J51=2,J52=2,F51&gt;E52),1)+IF(AND(J51=2,J53=2,G51&gt;E53),1)+IF(AND(J51=3,J49=3,C51&gt;E49),1)+IF(AND(J51=3,J50=3,D51&gt;E50),1)+IF(AND(J51=3,J52=3,F51&gt;E52),1)+IF(AND(J51=3,J53=3,G51&gt;E53),1)</f>
        <v>0</v>
      </c>
      <c r="L51" s="1305">
        <f>IF(AND(J51=1,J49=1),C51-E49)+IF(AND(J51=1,J50=1),D51-E50)+IF(AND(J51=1,J52=1),F51-E52)+IF(AND(J51=1,J53=1),G51-E53)+IF(AND(J51=2,J49=2),C51-E49)+IF(AND(J51=2,J50=2),D51-E50)+IF(AND(J51=2,J52=2),F51-E52)+IF(AND(J51=2,J53=2),G51-E53)+IF(AND(J51=3,J49=3),C51-E49)+IF(AND(J51=3,J50=3),D51-E50)+IF(AND(J51=3,J52=3),F51-E52)+IF(AND(J51=3,J53=3),G51-E53)</f>
        <v>0</v>
      </c>
      <c r="M51" s="515">
        <f t="shared" si="13"/>
        <v>0</v>
      </c>
      <c r="N51"/>
    </row>
    <row r="52" spans="1:14" s="498" customFormat="1" hidden="1" x14ac:dyDescent="0.2">
      <c r="A52" s="500">
        <v>4</v>
      </c>
      <c r="B52" s="521"/>
      <c r="C52" s="510"/>
      <c r="D52" s="520"/>
      <c r="E52" s="510"/>
      <c r="F52" s="509"/>
      <c r="G52" s="522"/>
      <c r="H52" s="511" t="str">
        <f>(IF(C52-F49&gt;0,1)+IF(D52-F50&gt;0,1)+IF(E52-F51&gt;0,1)+IF(G52-F53&gt;0,1))&amp;"-"&amp;(IF(C52-F49&lt;0,1)+IF(D52-F50&lt;0,1)+IF(E52-F51&lt;0,1)+IF(G52-F53&lt;0,1))</f>
        <v>0-0</v>
      </c>
      <c r="I52" s="510" t="str">
        <f>IF(AND(B52&lt;&gt;"",M$49=TRUE),A$49&amp;RANK(M52,M$50:M$54,0),"")</f>
        <v/>
      </c>
      <c r="J52" s="512">
        <f t="shared" si="12"/>
        <v>0</v>
      </c>
      <c r="K52" s="639">
        <f>IF(AND(J52=1,J49=1,C52&gt;F49),1)+IF(AND(J52=1,J50=1,D52&gt;F50),1)+IF(AND(J52=1,J51=1,E52&gt;F51),1)+IF(AND(J52=1,J53=1,G52&gt;F53),1)+IF(AND(J52=2,J49=2,C52&gt;F49),1)+IF(AND(J52=2,J50=2,D52&gt;F50),1)+IF(AND(J52=2,J51=2,E52&gt;F51),1)+IF(AND(J52=2,J53=2,G52&gt;F53),1)+IF(AND(J52=3,J49=3,C52&gt;F49),1)+IF(AND(J52=3,J50=3,D52&gt;F50),1)+IF(AND(J52=3,J51=3,E52&gt;F51),1)+IF(AND(J52=3,J53=3,G52&gt;F53),1)</f>
        <v>0</v>
      </c>
      <c r="L52" s="1305">
        <f>IF(AND(J52=1,J49=1),C52-F49)+IF(AND(J52=1,J50=1),D52-F50)+IF(AND(J52=1,J51=1),E52-F51)+IF(AND(J52=1,J53=1),G52-F53)+IF(AND(J52=2,J49=2),C52-F49)+IF(AND(J52=2,J50=2),D52-F50)+IF(AND(J52=2,J51=2),E52-F51)+IF(AND(J52=2,J53=2),G52-F53)+IF(AND(J52=3,J49=3),C52-F49)+IF(AND(J52=3,J50=3),D52-F50)+IF(AND(J52=3,J51=3),E52-F51)+IF(AND(J52=3,J53=3),G52-F53)</f>
        <v>0</v>
      </c>
      <c r="M52" s="515">
        <f t="shared" si="13"/>
        <v>0</v>
      </c>
      <c r="N52"/>
    </row>
    <row r="53" spans="1:14" s="498" customFormat="1" hidden="1" x14ac:dyDescent="0.2">
      <c r="A53" s="500">
        <v>5</v>
      </c>
      <c r="B53" s="521"/>
      <c r="C53" s="510"/>
      <c r="D53" s="510"/>
      <c r="E53" s="510"/>
      <c r="F53" s="510"/>
      <c r="G53" s="509"/>
      <c r="H53" s="511" t="str">
        <f>(IF(C53-G49&gt;0,1)+IF(D53-G50&gt;0,1)+IF(E53-G51&gt;0,1)+IF(F53-G52&gt;0,1))&amp;"-"&amp;(IF(C53-G49&lt;0,1)+IF(D53-G50&lt;0,1)+IF(E53-G51&lt;0,1)+IF(F53-G52&lt;0,1))</f>
        <v>0-0</v>
      </c>
      <c r="I53" s="510" t="str">
        <f>IF(AND(B53&lt;&gt;"",M$49=TRUE),A$49&amp;RANK(M53,M$50:M$54,0),"")</f>
        <v/>
      </c>
      <c r="J53" s="512">
        <f t="shared" si="12"/>
        <v>0</v>
      </c>
      <c r="K53" s="639">
        <f>IF(AND(J53=1,J49=1,C53&gt;G49),1)+IF(AND(J53=1,J50=1,D53&gt;G50),1)+IF(AND(J53=1,J51=1,E53&gt;G51),1)+IF(AND(J53=1,J52=1,F53&gt;G52),1)+IF(AND(J53=2,J49=2,C53&gt;G49),1)+IF(AND(J53=2,J50=2,D53&gt;G50),1)+IF(AND(J53=2,J51=2,E53&gt;G51),1)+IF(AND(J53=2,J52=2,F53&gt;G52),1)+IF(AND(J53=3,J49=3,C53&gt;G49),1)+IF(AND(J53=3,J50=3,D53&gt;G50),1)+IF(AND(J53=3,J51=3,E53&gt;G51),1)+IF(AND(J53=3,J52=3,F53&gt;G52),1)</f>
        <v>0</v>
      </c>
      <c r="L53" s="1305">
        <f>IF(AND(J53=1,J49=1),C53-G49)+IF(AND(J53=1,J50=1),D53-G50)+IF(AND(J53=1,J51=1),E53-G51)+IF(AND(J53=1,J52=1),F53-G52)+IF(AND(J53=2,J49=2),C53-G49)+IF(AND(J53=2,J50=2),D53-G50)+IF(AND(J53=2,J51=2),E53-G51)+IF(AND(J53=2,J52=2),F53-G52)+IF(AND(J53=3,J49=3),C53-G49)+IF(AND(J53=3,J50=3),D53-G50)+IF(AND(J53=3,J51=3),E53-G51)+IF(AND(J53=3,J52=3),F53-G52)</f>
        <v>0</v>
      </c>
      <c r="M53" s="515">
        <f t="shared" si="13"/>
        <v>0</v>
      </c>
      <c r="N53"/>
    </row>
    <row r="54" spans="1:14" s="498" customFormat="1" hidden="1" x14ac:dyDescent="0.2">
      <c r="A54" s="538"/>
      <c r="B54" s="539"/>
      <c r="C54" s="540"/>
      <c r="D54" s="540"/>
      <c r="E54" s="540"/>
      <c r="F54" s="641"/>
      <c r="G54" s="641"/>
      <c r="H54" s="541"/>
      <c r="I54" s="542"/>
      <c r="J54" s="642"/>
      <c r="K54" s="530"/>
      <c r="L54" s="643"/>
      <c r="M54" s="642"/>
      <c r="N54"/>
    </row>
    <row r="55" spans="1:14" s="506" customFormat="1" hidden="1" x14ac:dyDescent="0.2">
      <c r="A55" s="500" t="s">
        <v>147</v>
      </c>
      <c r="B55" s="501"/>
      <c r="C55" s="502">
        <v>1</v>
      </c>
      <c r="D55" s="502">
        <v>2</v>
      </c>
      <c r="E55" s="502">
        <v>3</v>
      </c>
      <c r="F55" s="502">
        <v>4</v>
      </c>
      <c r="G55" s="502"/>
      <c r="H55" s="501" t="s">
        <v>363</v>
      </c>
      <c r="I55" s="501" t="s">
        <v>26</v>
      </c>
      <c r="J55" s="533" t="s">
        <v>156</v>
      </c>
      <c r="K55" s="504" t="s">
        <v>156</v>
      </c>
      <c r="L55" s="534" t="s">
        <v>364</v>
      </c>
      <c r="M55" s="535" t="b">
        <f>OR(AND(COUNTA(B56:B60)=3,COUNTA(C56:G60)=6),AND(COUNTA(B56:B60)=4,COUNTA(C56:G60)=12),AND(COUNTA(B56:B60)=5,COUNTA(C56:G60)=20))</f>
        <v>0</v>
      </c>
      <c r="N55"/>
    </row>
    <row r="56" spans="1:14" s="506" customFormat="1" hidden="1" x14ac:dyDescent="0.2">
      <c r="A56" s="500">
        <v>1</v>
      </c>
      <c r="B56" s="508"/>
      <c r="C56" s="509"/>
      <c r="D56" s="510"/>
      <c r="E56" s="510"/>
      <c r="F56" s="510"/>
      <c r="G56" s="510"/>
      <c r="H56" s="511" t="str">
        <f>(IF(D56-C57&gt;0,1)+IF(E56-C58&gt;0,1)+IF(F56-C59&gt;0,1)+IF(G56-C60&gt;0,1))&amp;"-"&amp;(IF(D56-C57&lt;0,1)+IF(E56-C58&lt;0,1)+IF(F56-C59&lt;0,1)+IF(G56-C60&lt;0,1))</f>
        <v>0-0</v>
      </c>
      <c r="I56" s="510" t="str">
        <f>IF(AND(B56&lt;&gt;"",M$56=TRUE),A$56&amp;RANK(M56,M$57:M$61,0),"")</f>
        <v/>
      </c>
      <c r="J56" s="512">
        <f>VALUE(LEFT(H56,1))</f>
        <v>0</v>
      </c>
      <c r="K56" s="513">
        <f>IF(AND(J56=1,J57=1,D56&gt;C57),1)+IF(AND(J56=1,J58=1,E56&gt;C58),1)+IF(AND(J56=1,J59=1,F56&gt;C59),1)+IF(AND(J56=1,J60=1,G56&gt;C60),1)+IF(AND(J56=2,J57=2,D56&gt;C57),1)+IF(AND(J56=2,J58=2,E56&gt;C58),1)+IF(AND(J56=2,J59=2,F56&gt;C59),1)+IF(AND(J56=2,J60=2,G56&gt;C60),1)+IF(AND(J56=3,J57=3,D56&gt;C57),1)+IF(AND(J56=3,J58=3,E56&gt;C58),1)+IF(AND(J56=3,J59=3,F56&gt;C59),1)+IF(AND(J56=3,J60=3,G56&gt;C60),1)</f>
        <v>0</v>
      </c>
      <c r="L56" s="1305">
        <f>IF(AND(J56=1,J57=1),D56-C57)+IF(AND(J56=1,J58=1),E56-C58)+IF(AND(J56=1,J59=1),F56-C59)+IF(AND(J56=1,J60=1),G56-C60)+IF(AND(J56=2,J57=2),D56-C57)+IF(AND(J56=2,J58=2),E56-C58)+IF(AND(J56=2,J59=2),F56-C59)+IF(AND(J56=2,J60=2),G56-C60)+IF(AND(J56=3,J57=3),D56-C57)+IF(AND(J56=3,J58=3),E56-C58)+IF(AND(J56=3,J59=3),F56-C59)+IF(AND(J56=3,J60=3),G56-C60)</f>
        <v>0</v>
      </c>
      <c r="M56" s="515">
        <f>10000*J56+K56*100+L56</f>
        <v>0</v>
      </c>
      <c r="N56"/>
    </row>
    <row r="57" spans="1:14" s="506" customFormat="1" hidden="1" x14ac:dyDescent="0.2">
      <c r="A57" s="500">
        <v>2</v>
      </c>
      <c r="B57" s="518"/>
      <c r="C57" s="510"/>
      <c r="D57" s="509"/>
      <c r="E57" s="510"/>
      <c r="F57" s="510"/>
      <c r="G57" s="510"/>
      <c r="H57" s="511" t="str">
        <f>(IF(C57-D56&gt;0,1)+IF(E57-D58&gt;0,1)+IF(F57-D59&gt;0,1)+IF(G57-D60&gt;0,1))&amp;"-"&amp;(IF(C57-D56&lt;0,1)+IF(E57-D58&lt;0,1)+IF(F57-D59&lt;0,1)+IF(G57-D60&lt;0,1))</f>
        <v>0-0</v>
      </c>
      <c r="I57" s="510" t="str">
        <f>IF(AND(B57&lt;&gt;"",M$56=TRUE),A$56&amp;RANK(M57,M$57:M$61,0),"")</f>
        <v/>
      </c>
      <c r="J57" s="512">
        <f t="shared" ref="J57:J60" si="14">VALUE(LEFT(H57,1))</f>
        <v>0</v>
      </c>
      <c r="K57" s="639">
        <f>IF(AND(J57=1,J56=1,C57&gt;D56),1)+IF(AND(J57=1,J58=1,E57&gt;D58),1)+IF(AND(J57=1,J59=1,F57&gt;D59),1)+IF(AND(J57=1,J60=1,G57&gt;D60),1)+IF(AND(J57=2,J56=2,C57&gt;D56),1)+IF(AND(J57=2,J58=2,E57&gt;D58),1)+IF(AND(J57=2,J59=2,F57&gt;D59),1)+IF(AND(J57=2,J60=2,G57&gt;D60),1)+IF(AND(J57=3,J56=3,C57&gt;D56),1)+IF(AND(J57=3,J58=3,E57&gt;D58),1)+IF(AND(J57=3,J59=3,F57&gt;D59),1)+IF(AND(J57=3,J60=3,G57&gt;D60),1)</f>
        <v>0</v>
      </c>
      <c r="L57" s="1305">
        <f>IF(AND(J57=1,J56=1),C57-D56)+IF(AND(J57=1,J58=1),E57-D58)+IF(AND(J57=1,J59=1),F57-D59)+IF(AND(J57=1,J60=1),G57-D60)+IF(AND(J57=2,J56=2),C57-D56)+IF(AND(J57=2,J58=2),E57-D58)+IF(AND(J57=2,J59=2),F57-D59)+IF(AND(J57=2,J60=2),G57-D60)+IF(AND(J57=3,J56=3),C57-D56)+IF(AND(J57=3,J58=3),E57-D58)+IF(AND(J57=3,J59=3),F57-D59)+IF(AND(J57=3,J60=3),G57-D60)</f>
        <v>0</v>
      </c>
      <c r="M57" s="515">
        <f t="shared" ref="M57:M60" si="15">10000*J57+K57*100+L57</f>
        <v>0</v>
      </c>
      <c r="N57"/>
    </row>
    <row r="58" spans="1:14" s="506" customFormat="1" hidden="1" x14ac:dyDescent="0.2">
      <c r="A58" s="500">
        <v>3</v>
      </c>
      <c r="B58" s="518"/>
      <c r="C58" s="510"/>
      <c r="D58" s="520"/>
      <c r="E58" s="509"/>
      <c r="F58" s="510"/>
      <c r="G58" s="510"/>
      <c r="H58" s="511" t="str">
        <f>(IF(C58-E56&gt;0,1)+IF(D58-E57&gt;0,1)+IF(F58-E59&gt;0,1)+IF(G58-E60&gt;0,1))&amp;"-"&amp;(IF(C58-E56&lt;0,1)+IF(D58-E57&lt;0,1)+IF(F58-E59&lt;0,1)+IF(G58-E60&lt;0,1))</f>
        <v>0-0</v>
      </c>
      <c r="I58" s="510" t="str">
        <f>IF(AND(B58&lt;&gt;"",M$56=TRUE),A$56&amp;RANK(M58,M$57:M$61,0),"")</f>
        <v/>
      </c>
      <c r="J58" s="512">
        <f t="shared" si="14"/>
        <v>0</v>
      </c>
      <c r="K58" s="639">
        <f>IF(AND(J58=1,J56=1,C58&gt;E56),1)+IF(AND(J58=1,J57=1,D58&gt;E57),1)+IF(AND(J58=1,J59=1,F58&gt;E59),1)+IF(AND(J58=1,J60=1,G58&gt;E60),1)+IF(AND(J58=2,J56=2,C58&gt;E56),1)+IF(AND(J58=2,J57=2,D58&gt;E57),1)+IF(AND(J58=2,J59=2,F58&gt;E59),1)+IF(AND(J58=2,J60=2,G58&gt;E60),1)+IF(AND(J58=3,J56=3,C58&gt;E56),1)+IF(AND(J58=3,J57=3,D58&gt;E57),1)+IF(AND(J58=3,J59=3,F58&gt;E59),1)+IF(AND(J58=3,J60=3,G58&gt;E60),1)</f>
        <v>0</v>
      </c>
      <c r="L58" s="1305">
        <f>IF(AND(J58=1,J56=1),C58-E56)+IF(AND(J58=1,J57=1),D58-E57)+IF(AND(J58=1,J59=1),F58-E59)+IF(AND(J58=1,J60=1),G58-E60)+IF(AND(J58=2,J56=2),C58-E56)+IF(AND(J58=2,J57=2),D58-E57)+IF(AND(J58=2,J59=2),F58-E59)+IF(AND(J58=2,J60=2),G58-E60)+IF(AND(J58=3,J56=3),C58-E56)+IF(AND(J58=3,J57=3),D58-E57)+IF(AND(J58=3,J59=3),F58-E59)+IF(AND(J58=3,J60=3),G58-E60)</f>
        <v>0</v>
      </c>
      <c r="M58" s="515">
        <f t="shared" si="15"/>
        <v>0</v>
      </c>
      <c r="N58"/>
    </row>
    <row r="59" spans="1:14" s="506" customFormat="1" hidden="1" x14ac:dyDescent="0.2">
      <c r="A59" s="500">
        <v>4</v>
      </c>
      <c r="B59" s="521"/>
      <c r="C59" s="510"/>
      <c r="D59" s="520"/>
      <c r="E59" s="510"/>
      <c r="F59" s="509"/>
      <c r="G59" s="522"/>
      <c r="H59" s="511" t="str">
        <f>(IF(C59-F56&gt;0,1)+IF(D59-F57&gt;0,1)+IF(E59-F58&gt;0,1)+IF(G59-F60&gt;0,1))&amp;"-"&amp;(IF(C59-F56&lt;0,1)+IF(D59-F57&lt;0,1)+IF(E59-F58&lt;0,1)+IF(G59-F60&lt;0,1))</f>
        <v>0-0</v>
      </c>
      <c r="I59" s="510" t="str">
        <f>IF(AND(B59&lt;&gt;"",M$56=TRUE),A$56&amp;RANK(M59,M$57:M$61,0),"")</f>
        <v/>
      </c>
      <c r="J59" s="512">
        <f t="shared" si="14"/>
        <v>0</v>
      </c>
      <c r="K59" s="639">
        <f>IF(AND(J59=1,J56=1,C59&gt;F56),1)+IF(AND(J59=1,J57=1,D59&gt;F57),1)+IF(AND(J59=1,J58=1,E59&gt;F58),1)+IF(AND(J59=1,J60=1,G59&gt;F60),1)+IF(AND(J59=2,J56=2,C59&gt;F56),1)+IF(AND(J59=2,J57=2,D59&gt;F57),1)+IF(AND(J59=2,J58=2,E59&gt;F58),1)+IF(AND(J59=2,J60=2,G59&gt;F60),1)+IF(AND(J59=3,J56=3,C59&gt;F56),1)+IF(AND(J59=3,J57=3,D59&gt;F57),1)+IF(AND(J59=3,J58=3,E59&gt;F58),1)+IF(AND(J59=3,J60=3,G59&gt;F60),1)</f>
        <v>0</v>
      </c>
      <c r="L59" s="1305">
        <f>IF(AND(J59=1,J56=1),C59-F56)+IF(AND(J59=1,J57=1),D59-F57)+IF(AND(J59=1,J58=1),E59-F58)+IF(AND(J59=1,J60=1),G59-F60)+IF(AND(J59=2,J56=2),C59-F56)+IF(AND(J59=2,J57=2),D59-F57)+IF(AND(J59=2,J58=2),E59-F58)+IF(AND(J59=2,J60=2),G59-F60)+IF(AND(J59=3,J56=3),C59-F56)+IF(AND(J59=3,J57=3),D59-F57)+IF(AND(J59=3,J58=3),E59-F58)+IF(AND(J59=3,J60=3),G59-F60)</f>
        <v>0</v>
      </c>
      <c r="M59" s="515">
        <f t="shared" si="15"/>
        <v>0</v>
      </c>
      <c r="N59"/>
    </row>
    <row r="60" spans="1:14" s="506" customFormat="1" hidden="1" x14ac:dyDescent="0.2">
      <c r="A60" s="500">
        <v>5</v>
      </c>
      <c r="B60" s="521"/>
      <c r="C60" s="510"/>
      <c r="D60" s="510"/>
      <c r="E60" s="510"/>
      <c r="F60" s="510"/>
      <c r="G60" s="509"/>
      <c r="H60" s="511" t="str">
        <f>(IF(C60-G56&gt;0,1)+IF(D60-G57&gt;0,1)+IF(E60-G58&gt;0,1)+IF(F60-G59&gt;0,1))&amp;"-"&amp;(IF(C60-G56&lt;0,1)+IF(D60-G57&lt;0,1)+IF(E60-G58&lt;0,1)+IF(F60-G59&lt;0,1))</f>
        <v>0-0</v>
      </c>
      <c r="I60" s="510" t="str">
        <f>IF(AND(B60&lt;&gt;"",M$56=TRUE),A$56&amp;RANK(M60,M$57:M$61,0),"")</f>
        <v/>
      </c>
      <c r="J60" s="512">
        <f t="shared" si="14"/>
        <v>0</v>
      </c>
      <c r="K60" s="639">
        <f>IF(AND(J60=1,J56=1,C60&gt;G56),1)+IF(AND(J60=1,J57=1,D60&gt;G57),1)+IF(AND(J60=1,J58=1,E60&gt;G58),1)+IF(AND(J60=1,J59=1,F60&gt;G59),1)+IF(AND(J60=2,J56=2,C60&gt;G56),1)+IF(AND(J60=2,J57=2,D60&gt;G57),1)+IF(AND(J60=2,J58=2,E60&gt;G58),1)+IF(AND(J60=2,J59=2,F60&gt;G59),1)+IF(AND(J60=3,J56=3,C60&gt;G56),1)+IF(AND(J60=3,J57=3,D60&gt;G57),1)+IF(AND(J60=3,J58=3,E60&gt;G58),1)+IF(AND(J60=3,J59=3,F60&gt;G59),1)</f>
        <v>0</v>
      </c>
      <c r="L60" s="1305">
        <f>IF(AND(J60=1,J56=1),C60-G56)+IF(AND(J60=1,J57=1),D60-G57)+IF(AND(J60=1,J58=1),E60-G58)+IF(AND(J60=1,J59=1),F60-G59)+IF(AND(J60=2,J56=2),C60-G56)+IF(AND(J60=2,J57=2),D60-G57)+IF(AND(J60=2,J58=2),E60-G58)+IF(AND(J60=2,J59=2),F60-G59)+IF(AND(J60=3,J56=3),C60-G56)+IF(AND(J60=3,J57=3),D60-G57)+IF(AND(J60=3,J58=3),E60-G58)+IF(AND(J60=3,J59=3),F60-G59)</f>
        <v>0</v>
      </c>
      <c r="M60" s="515">
        <f t="shared" si="15"/>
        <v>0</v>
      </c>
      <c r="N60"/>
    </row>
    <row r="61" spans="1:14" s="55" customFormat="1" hidden="1" x14ac:dyDescent="0.2">
      <c r="N61"/>
    </row>
    <row r="62" spans="1:14" s="55" customFormat="1" hidden="1" x14ac:dyDescent="0.2">
      <c r="B62" s="549" t="s">
        <v>16</v>
      </c>
      <c r="C62" s="550" t="s">
        <v>366</v>
      </c>
      <c r="D62" s="550"/>
      <c r="N62"/>
    </row>
    <row r="63" spans="1:14" s="55" customFormat="1" hidden="1" x14ac:dyDescent="0.2">
      <c r="B63" s="549" t="s">
        <v>17</v>
      </c>
      <c r="C63" s="550" t="s">
        <v>367</v>
      </c>
      <c r="D63" s="506"/>
      <c r="N63"/>
    </row>
    <row r="64" spans="1:14" s="55" customFormat="1" hidden="1" x14ac:dyDescent="0.2">
      <c r="B64" s="549" t="s">
        <v>18</v>
      </c>
      <c r="C64" s="550" t="s">
        <v>368</v>
      </c>
      <c r="D64" s="506"/>
      <c r="N64"/>
    </row>
    <row r="65" spans="1:14" s="55" customFormat="1" hidden="1" x14ac:dyDescent="0.2">
      <c r="B65" s="506"/>
      <c r="C65" s="506"/>
      <c r="D65" s="506"/>
      <c r="N65"/>
    </row>
    <row r="66" spans="1:14" s="55" customFormat="1" hidden="1" x14ac:dyDescent="0.2">
      <c r="B66" s="549" t="s">
        <v>16</v>
      </c>
      <c r="C66" s="550" t="s">
        <v>369</v>
      </c>
      <c r="D66" s="550" t="s">
        <v>367</v>
      </c>
      <c r="N66"/>
    </row>
    <row r="67" spans="1:14" s="55" customFormat="1" hidden="1" x14ac:dyDescent="0.2">
      <c r="B67" s="549" t="s">
        <v>17</v>
      </c>
      <c r="C67" s="550" t="s">
        <v>366</v>
      </c>
      <c r="D67" s="550" t="s">
        <v>370</v>
      </c>
      <c r="N67"/>
    </row>
    <row r="68" spans="1:14" s="55" customFormat="1" hidden="1" x14ac:dyDescent="0.2">
      <c r="B68" s="549" t="s">
        <v>18</v>
      </c>
      <c r="C68" s="550" t="s">
        <v>368</v>
      </c>
      <c r="D68" s="550" t="s">
        <v>371</v>
      </c>
      <c r="N68"/>
    </row>
    <row r="69" spans="1:14" s="55" customFormat="1" x14ac:dyDescent="0.2">
      <c r="B69" s="551"/>
      <c r="C69" s="527"/>
      <c r="D69" s="527"/>
      <c r="N69"/>
    </row>
    <row r="70" spans="1:14" s="55" customFormat="1" x14ac:dyDescent="0.2">
      <c r="B70" s="549" t="s">
        <v>16</v>
      </c>
      <c r="C70" s="550" t="s">
        <v>372</v>
      </c>
      <c r="D70" s="550" t="s">
        <v>370</v>
      </c>
      <c r="N70"/>
    </row>
    <row r="71" spans="1:14" s="55" customFormat="1" x14ac:dyDescent="0.2">
      <c r="B71" s="549" t="s">
        <v>17</v>
      </c>
      <c r="C71" s="550" t="s">
        <v>366</v>
      </c>
      <c r="D71" s="550" t="s">
        <v>373</v>
      </c>
      <c r="N71"/>
    </row>
    <row r="72" spans="1:14" s="55" customFormat="1" x14ac:dyDescent="0.2">
      <c r="B72" s="549" t="s">
        <v>18</v>
      </c>
      <c r="C72" s="550" t="s">
        <v>374</v>
      </c>
      <c r="D72" s="550" t="s">
        <v>371</v>
      </c>
      <c r="N72"/>
    </row>
    <row r="73" spans="1:14" s="55" customFormat="1" x14ac:dyDescent="0.2">
      <c r="B73" s="549" t="s">
        <v>19</v>
      </c>
      <c r="C73" s="550" t="s">
        <v>375</v>
      </c>
      <c r="D73" s="550" t="s">
        <v>376</v>
      </c>
      <c r="N73"/>
    </row>
    <row r="74" spans="1:14" s="55" customFormat="1" x14ac:dyDescent="0.2">
      <c r="B74" s="549" t="s">
        <v>20</v>
      </c>
      <c r="C74" s="550" t="s">
        <v>367</v>
      </c>
      <c r="D74" s="550" t="s">
        <v>369</v>
      </c>
      <c r="N74"/>
    </row>
    <row r="75" spans="1:14" s="55" customFormat="1" hidden="1" x14ac:dyDescent="0.2">
      <c r="A75"/>
      <c r="B75"/>
      <c r="C75"/>
      <c r="D75"/>
      <c r="E75"/>
      <c r="F75"/>
      <c r="G75"/>
      <c r="H75"/>
      <c r="I75" s="35"/>
      <c r="J75"/>
      <c r="K75"/>
      <c r="L75"/>
      <c r="M75"/>
      <c r="N75"/>
    </row>
    <row r="76" spans="1:14" s="55" customFormat="1" hidden="1" x14ac:dyDescent="0.2">
      <c r="A76"/>
      <c r="B76"/>
      <c r="C76"/>
      <c r="D76"/>
      <c r="E76"/>
      <c r="F76"/>
      <c r="G76"/>
      <c r="H76"/>
      <c r="I76" s="35"/>
      <c r="J76"/>
      <c r="K76"/>
      <c r="L76"/>
      <c r="M76"/>
      <c r="N76"/>
    </row>
    <row r="77" spans="1:14" s="55" customFormat="1" hidden="1" x14ac:dyDescent="0.2">
      <c r="A77"/>
      <c r="B77"/>
      <c r="C77"/>
      <c r="D77"/>
      <c r="E77"/>
      <c r="F77"/>
      <c r="G77"/>
      <c r="H77"/>
      <c r="I77" s="35"/>
      <c r="J77"/>
      <c r="K77"/>
      <c r="L77"/>
      <c r="M77"/>
      <c r="N77"/>
    </row>
    <row r="78" spans="1:14" s="55" customFormat="1" hidden="1" x14ac:dyDescent="0.2">
      <c r="A78"/>
      <c r="B78"/>
      <c r="C78"/>
      <c r="D78"/>
      <c r="E78"/>
      <c r="F78"/>
      <c r="G78"/>
      <c r="H78"/>
      <c r="I78" s="35"/>
      <c r="J78"/>
      <c r="K78"/>
      <c r="L78"/>
      <c r="M78"/>
      <c r="N78"/>
    </row>
    <row r="79" spans="1:14" s="55" customFormat="1" hidden="1" x14ac:dyDescent="0.2">
      <c r="A79"/>
      <c r="B79"/>
      <c r="C79"/>
      <c r="D79"/>
      <c r="E79"/>
      <c r="F79"/>
      <c r="G79"/>
      <c r="H79"/>
      <c r="I79" s="35"/>
      <c r="J79"/>
      <c r="K79"/>
      <c r="L79"/>
      <c r="M79"/>
      <c r="N79"/>
    </row>
    <row r="80" spans="1:14" s="55" customFormat="1" hidden="1" x14ac:dyDescent="0.2">
      <c r="A80"/>
      <c r="B80"/>
      <c r="C80"/>
      <c r="D80"/>
      <c r="E80"/>
      <c r="F80"/>
      <c r="G80"/>
      <c r="H80"/>
      <c r="I80" s="35"/>
      <c r="J80"/>
      <c r="K80"/>
      <c r="L80"/>
      <c r="M80"/>
      <c r="N80"/>
    </row>
    <row r="81" spans="1:14" s="55" customFormat="1" hidden="1" x14ac:dyDescent="0.2">
      <c r="A81"/>
      <c r="B81"/>
      <c r="C81"/>
      <c r="D81"/>
      <c r="E81"/>
      <c r="F81"/>
      <c r="G81"/>
      <c r="H81"/>
      <c r="I81" s="35"/>
      <c r="J81"/>
      <c r="K81"/>
      <c r="L81"/>
      <c r="M81"/>
      <c r="N81"/>
    </row>
    <row r="82" spans="1:14" s="55" customFormat="1" hidden="1" x14ac:dyDescent="0.2">
      <c r="A82"/>
      <c r="B82"/>
      <c r="C82"/>
      <c r="D82"/>
      <c r="E82"/>
      <c r="F82"/>
      <c r="G82"/>
      <c r="H82"/>
      <c r="I82" s="35"/>
      <c r="J82"/>
      <c r="K82"/>
      <c r="L82"/>
      <c r="M82"/>
      <c r="N82"/>
    </row>
    <row r="83" spans="1:14" s="55" customFormat="1" hidden="1" x14ac:dyDescent="0.2">
      <c r="A83"/>
      <c r="B83"/>
      <c r="C83"/>
      <c r="D83"/>
      <c r="E83"/>
      <c r="F83"/>
      <c r="G83"/>
      <c r="H83"/>
      <c r="I83" s="35"/>
      <c r="J83"/>
      <c r="K83"/>
      <c r="L83"/>
      <c r="M83"/>
      <c r="N83"/>
    </row>
    <row r="84" spans="1:14" s="55" customFormat="1" hidden="1" x14ac:dyDescent="0.2">
      <c r="A84"/>
      <c r="B84"/>
      <c r="C84"/>
      <c r="D84"/>
      <c r="E84"/>
      <c r="F84"/>
      <c r="G84"/>
      <c r="H84"/>
      <c r="I84" s="35"/>
      <c r="J84"/>
      <c r="K84"/>
      <c r="L84"/>
      <c r="M84"/>
      <c r="N84"/>
    </row>
    <row r="85" spans="1:14" s="55" customFormat="1" hidden="1" x14ac:dyDescent="0.2">
      <c r="A85"/>
      <c r="B85"/>
      <c r="C85"/>
      <c r="D85"/>
      <c r="E85"/>
      <c r="F85"/>
      <c r="G85"/>
      <c r="H85"/>
      <c r="I85" s="35"/>
      <c r="J85"/>
      <c r="K85"/>
      <c r="L85"/>
      <c r="M85"/>
      <c r="N85"/>
    </row>
    <row r="86" spans="1:14" s="55" customFormat="1" hidden="1" x14ac:dyDescent="0.2">
      <c r="A86"/>
      <c r="B86"/>
      <c r="C86"/>
      <c r="D86"/>
      <c r="E86"/>
      <c r="F86"/>
      <c r="G86"/>
      <c r="H86"/>
      <c r="I86" s="35"/>
      <c r="J86"/>
      <c r="K86"/>
      <c r="L86"/>
      <c r="M86"/>
      <c r="N86"/>
    </row>
    <row r="87" spans="1:14" s="55" customFormat="1" hidden="1" x14ac:dyDescent="0.2">
      <c r="A87"/>
      <c r="B87"/>
      <c r="C87"/>
      <c r="D87"/>
      <c r="E87"/>
      <c r="F87"/>
      <c r="G87"/>
      <c r="H87"/>
      <c r="I87" s="35"/>
      <c r="J87"/>
      <c r="K87"/>
      <c r="L87"/>
      <c r="M87"/>
      <c r="N87"/>
    </row>
    <row r="88" spans="1:14" s="55" customFormat="1" hidden="1" x14ac:dyDescent="0.2">
      <c r="A88"/>
      <c r="B88"/>
      <c r="C88"/>
      <c r="D88"/>
      <c r="E88"/>
      <c r="F88"/>
      <c r="G88"/>
      <c r="H88"/>
      <c r="I88" s="35"/>
      <c r="J88"/>
      <c r="K88"/>
      <c r="L88"/>
      <c r="M88"/>
      <c r="N88"/>
    </row>
    <row r="89" spans="1:14" s="55" customFormat="1" hidden="1" x14ac:dyDescent="0.2">
      <c r="A89"/>
      <c r="B89"/>
      <c r="C89"/>
      <c r="D89"/>
      <c r="E89"/>
      <c r="F89"/>
      <c r="G89"/>
      <c r="H89"/>
      <c r="I89" s="35"/>
      <c r="J89"/>
      <c r="K89"/>
      <c r="L89"/>
      <c r="M89"/>
      <c r="N89"/>
    </row>
    <row r="90" spans="1:14" s="55" customFormat="1" hidden="1" x14ac:dyDescent="0.2">
      <c r="A90"/>
      <c r="B90"/>
      <c r="C90"/>
      <c r="D90"/>
      <c r="E90"/>
      <c r="F90"/>
      <c r="G90"/>
      <c r="H90"/>
      <c r="I90" s="35"/>
      <c r="J90"/>
      <c r="K90"/>
      <c r="L90"/>
      <c r="M90"/>
      <c r="N90"/>
    </row>
    <row r="91" spans="1:14" s="55" customFormat="1" hidden="1" x14ac:dyDescent="0.2">
      <c r="A91"/>
      <c r="B91"/>
      <c r="C91"/>
      <c r="D91"/>
      <c r="E91"/>
      <c r="F91"/>
      <c r="G91"/>
      <c r="H91"/>
      <c r="I91" s="35"/>
      <c r="J91"/>
      <c r="K91"/>
      <c r="L91"/>
      <c r="M91"/>
      <c r="N91"/>
    </row>
    <row r="92" spans="1:14" s="55" customFormat="1" hidden="1" x14ac:dyDescent="0.2">
      <c r="A92"/>
      <c r="B92"/>
      <c r="C92"/>
      <c r="D92"/>
      <c r="E92"/>
      <c r="F92"/>
      <c r="G92"/>
      <c r="H92"/>
      <c r="I92" s="35"/>
      <c r="J92"/>
      <c r="K92"/>
      <c r="L92"/>
      <c r="M92"/>
      <c r="N92"/>
    </row>
    <row r="93" spans="1:14" s="55" customFormat="1" hidden="1" x14ac:dyDescent="0.2">
      <c r="A93"/>
      <c r="B93"/>
      <c r="C93"/>
      <c r="D93"/>
      <c r="E93"/>
      <c r="F93"/>
      <c r="G93"/>
      <c r="H93"/>
      <c r="I93" s="35"/>
      <c r="J93"/>
      <c r="K93"/>
      <c r="L93"/>
      <c r="M93"/>
      <c r="N93"/>
    </row>
    <row r="94" spans="1:14" s="55" customFormat="1" hidden="1" x14ac:dyDescent="0.2">
      <c r="A94"/>
      <c r="B94"/>
      <c r="C94"/>
      <c r="D94"/>
      <c r="E94"/>
      <c r="F94"/>
      <c r="G94"/>
      <c r="H94"/>
      <c r="I94" s="35"/>
      <c r="J94"/>
      <c r="K94"/>
      <c r="L94"/>
      <c r="M94"/>
      <c r="N94"/>
    </row>
    <row r="95" spans="1:14" s="552" customFormat="1" hidden="1" x14ac:dyDescent="0.2">
      <c r="A95"/>
      <c r="B95"/>
      <c r="C95"/>
      <c r="D95"/>
      <c r="E95"/>
      <c r="F95"/>
      <c r="G95"/>
      <c r="H95"/>
      <c r="I95" s="35"/>
      <c r="J95"/>
      <c r="K95"/>
      <c r="L95"/>
      <c r="M95"/>
      <c r="N95"/>
    </row>
    <row r="96" spans="1:14" hidden="1" x14ac:dyDescent="0.2">
      <c r="A96"/>
      <c r="B96"/>
      <c r="C96"/>
      <c r="D96"/>
      <c r="E96"/>
      <c r="F96"/>
      <c r="G96"/>
      <c r="H96"/>
      <c r="I96" s="35"/>
      <c r="J96"/>
      <c r="K96"/>
      <c r="L96"/>
      <c r="M96"/>
      <c r="N96"/>
    </row>
    <row r="97" spans="1:14" hidden="1" x14ac:dyDescent="0.2">
      <c r="A97"/>
      <c r="B97"/>
      <c r="C97"/>
      <c r="D97"/>
      <c r="E97"/>
      <c r="F97"/>
      <c r="G97"/>
      <c r="H97"/>
      <c r="I97" s="35"/>
      <c r="J97"/>
      <c r="K97"/>
      <c r="L97"/>
      <c r="M97"/>
      <c r="N97"/>
    </row>
    <row r="98" spans="1:14" x14ac:dyDescent="0.2">
      <c r="A98"/>
      <c r="B98"/>
      <c r="C98"/>
      <c r="D98"/>
      <c r="E98"/>
      <c r="F98"/>
      <c r="G98"/>
      <c r="H98"/>
      <c r="I98" s="35"/>
      <c r="J98"/>
      <c r="K98"/>
      <c r="L98"/>
      <c r="M98"/>
      <c r="N98"/>
    </row>
    <row r="99" spans="1:14" x14ac:dyDescent="0.2">
      <c r="A99" s="553" t="s">
        <v>498</v>
      </c>
      <c r="B99" s="554"/>
      <c r="C99" s="525"/>
      <c r="D99" s="525"/>
      <c r="E99" s="525"/>
      <c r="F99" s="527"/>
      <c r="G99" s="550"/>
      <c r="H99" s="55"/>
      <c r="I99" s="35"/>
      <c r="J99"/>
      <c r="K99"/>
      <c r="L99" s="32"/>
      <c r="M99"/>
      <c r="N99"/>
    </row>
    <row r="100" spans="1:14" x14ac:dyDescent="0.2">
      <c r="A100" s="55"/>
      <c r="B100" s="55"/>
      <c r="C100" s="55"/>
      <c r="D100" s="55"/>
      <c r="E100" s="55"/>
      <c r="F100" s="55"/>
      <c r="G100" s="55"/>
      <c r="H100" s="55"/>
      <c r="I100" s="35"/>
      <c r="J100"/>
      <c r="K100"/>
      <c r="M100"/>
      <c r="N100"/>
    </row>
    <row r="101" spans="1:14" x14ac:dyDescent="0.2">
      <c r="A101" s="555" t="s">
        <v>382</v>
      </c>
      <c r="B101" s="556" t="str">
        <f>IFERROR(INDEX(B$1:B$100,MATCH(A101,I$1:I$100,0)),"")</f>
        <v>Mait Metsla</v>
      </c>
      <c r="C101" s="557">
        <v>10</v>
      </c>
      <c r="D101" s="55"/>
      <c r="E101" s="55"/>
      <c r="F101" s="55"/>
      <c r="G101" s="55"/>
      <c r="H101" s="55"/>
      <c r="I101" s="35"/>
      <c r="J101"/>
      <c r="K101"/>
      <c r="M101"/>
      <c r="N101"/>
    </row>
    <row r="102" spans="1:14" x14ac:dyDescent="0.2">
      <c r="A102" s="558"/>
      <c r="B102" s="644"/>
      <c r="C102" s="560" t="str">
        <f>IF(COUNT(C101,C103)=2,IF(C101&gt;C103,B101,B103),"")</f>
        <v>Tõnu Kapper</v>
      </c>
      <c r="D102" s="55"/>
      <c r="E102" s="915">
        <v>0</v>
      </c>
      <c r="F102" s="55"/>
      <c r="G102" s="55"/>
      <c r="H102" s="55"/>
      <c r="I102" s="55"/>
      <c r="J102"/>
      <c r="K102"/>
      <c r="L102" s="32"/>
      <c r="M102"/>
      <c r="N102"/>
    </row>
    <row r="103" spans="1:14" x14ac:dyDescent="0.2">
      <c r="A103" s="558" t="s">
        <v>384</v>
      </c>
      <c r="B103" s="561" t="str">
        <f>IFERROR(INDEX(B$1:B$100,MATCH(A103,I$1:I$100,0)),"")</f>
        <v>Tõnu Kapper</v>
      </c>
      <c r="C103" s="562">
        <v>13</v>
      </c>
      <c r="D103" s="645"/>
      <c r="E103" s="55"/>
      <c r="F103" s="55"/>
      <c r="G103" s="55"/>
      <c r="H103" s="55"/>
      <c r="I103" s="55"/>
      <c r="J103"/>
      <c r="K103"/>
      <c r="M103"/>
      <c r="N103"/>
    </row>
    <row r="104" spans="1:14" x14ac:dyDescent="0.2">
      <c r="A104" s="558"/>
      <c r="B104" s="539"/>
      <c r="C104" s="55"/>
      <c r="D104" s="564"/>
      <c r="E104" s="560" t="str">
        <f>IF(COUNT(E102,E106)=2,IF(E102&gt;E106,C102,C106),"")</f>
        <v>Ivar Viljaste</v>
      </c>
      <c r="F104" s="55"/>
      <c r="G104" s="557">
        <v>13</v>
      </c>
      <c r="H104" s="55"/>
      <c r="I104" s="55"/>
      <c r="J104"/>
      <c r="K104"/>
      <c r="M104"/>
      <c r="N104"/>
    </row>
    <row r="105" spans="1:14" x14ac:dyDescent="0.2">
      <c r="A105" s="558" t="s">
        <v>387</v>
      </c>
      <c r="B105" s="556" t="str">
        <f>IFERROR(INDEX(B$1:B$100,MATCH(A105,I$1:I$100,0)),"")</f>
        <v>Ivar Viljaste</v>
      </c>
      <c r="C105" s="557">
        <v>13</v>
      </c>
      <c r="D105" s="564"/>
      <c r="E105" s="565"/>
      <c r="F105" s="645"/>
      <c r="G105" s="55"/>
      <c r="H105" s="55"/>
      <c r="I105" s="55"/>
      <c r="J105"/>
      <c r="K105"/>
      <c r="M105"/>
      <c r="N105"/>
    </row>
    <row r="106" spans="1:14" x14ac:dyDescent="0.2">
      <c r="A106" s="558"/>
      <c r="B106" s="644"/>
      <c r="C106" s="560" t="str">
        <f>IF(COUNT(C105,C107)=2,IF(C105&gt;C107,B105,B107),"")</f>
        <v>Ivar Viljaste</v>
      </c>
      <c r="D106" s="566"/>
      <c r="E106" s="562">
        <v>13</v>
      </c>
      <c r="F106" s="564"/>
      <c r="G106" s="55"/>
      <c r="H106" s="55"/>
      <c r="I106" s="55"/>
      <c r="J106"/>
      <c r="K106"/>
      <c r="L106" s="32"/>
      <c r="M106"/>
      <c r="N106"/>
    </row>
    <row r="107" spans="1:14" x14ac:dyDescent="0.2">
      <c r="A107" s="558" t="s">
        <v>385</v>
      </c>
      <c r="B107" s="561" t="str">
        <f>IFERROR(INDEX(B$1:B$100,MATCH(A107,I$1:I$100,0)),"")</f>
        <v>Oleg Rõndenkov</v>
      </c>
      <c r="C107" s="562">
        <v>12</v>
      </c>
      <c r="D107" s="55"/>
      <c r="E107" s="554"/>
      <c r="F107" s="564"/>
      <c r="G107" s="55"/>
      <c r="H107" s="55"/>
      <c r="I107" s="55"/>
      <c r="J107"/>
      <c r="K107"/>
      <c r="M107"/>
      <c r="N107"/>
    </row>
    <row r="108" spans="1:14" ht="13.5" thickBot="1" x14ac:dyDescent="0.25">
      <c r="A108" s="538"/>
      <c r="B108" s="539"/>
      <c r="C108" s="55"/>
      <c r="D108" s="55"/>
      <c r="E108" s="554"/>
      <c r="F108" s="564"/>
      <c r="G108" s="55"/>
      <c r="H108" s="567" t="str">
        <f>IF(COUNT(G104,G112)=2,IF(G104&gt;G112,E104,E112),"")</f>
        <v>Ivar Viljaste</v>
      </c>
      <c r="I108" s="55"/>
      <c r="J108"/>
      <c r="K108"/>
      <c r="L108" s="32"/>
      <c r="M108"/>
      <c r="N108"/>
    </row>
    <row r="109" spans="1:14" x14ac:dyDescent="0.2">
      <c r="A109" s="555" t="s">
        <v>380</v>
      </c>
      <c r="B109" s="556" t="str">
        <f>IFERROR(INDEX(B$1:B$100,MATCH(A109,I$1:I$100,0)),"")</f>
        <v>Matti Vinni</v>
      </c>
      <c r="C109" s="557">
        <v>6</v>
      </c>
      <c r="D109" s="55"/>
      <c r="E109" s="55"/>
      <c r="F109" s="564"/>
      <c r="G109" s="568"/>
      <c r="H109" s="569" t="s">
        <v>383</v>
      </c>
      <c r="I109" s="570"/>
      <c r="J109"/>
      <c r="K109"/>
      <c r="L109" s="32"/>
      <c r="M109"/>
      <c r="N109"/>
    </row>
    <row r="110" spans="1:14" x14ac:dyDescent="0.2">
      <c r="A110" s="558"/>
      <c r="B110" s="644"/>
      <c r="C110" s="560" t="str">
        <f>IF(COUNT(C109,C111)=2,IF(C109&gt;C111,B109,B111),"")</f>
        <v>Boriss Klubov</v>
      </c>
      <c r="D110" s="55"/>
      <c r="E110" s="557">
        <v>10</v>
      </c>
      <c r="F110" s="564"/>
      <c r="G110" s="554"/>
      <c r="H110" s="55"/>
      <c r="I110" s="55"/>
      <c r="J110"/>
      <c r="K110"/>
      <c r="L110" s="32"/>
      <c r="M110"/>
      <c r="N110"/>
    </row>
    <row r="111" spans="1:14" x14ac:dyDescent="0.2">
      <c r="A111" s="558" t="s">
        <v>379</v>
      </c>
      <c r="B111" s="561" t="str">
        <f>IFERROR(INDEX(B$1:B$100,MATCH(A111,I$1:I$100,0)),"")</f>
        <v>Boriss Klubov</v>
      </c>
      <c r="C111" s="562">
        <v>13</v>
      </c>
      <c r="D111" s="645"/>
      <c r="E111" s="55"/>
      <c r="F111" s="564"/>
      <c r="G111" s="554"/>
      <c r="H111" s="55"/>
      <c r="I111" s="55"/>
      <c r="J111"/>
      <c r="K111"/>
      <c r="L111" s="32"/>
      <c r="M111"/>
      <c r="N111"/>
    </row>
    <row r="112" spans="1:14" x14ac:dyDescent="0.2">
      <c r="A112" s="558"/>
      <c r="B112" s="539"/>
      <c r="C112" s="55"/>
      <c r="D112" s="564"/>
      <c r="E112" s="560" t="str">
        <f>IF(COUNT(E110,E114)=2,IF(E110&gt;E114,C110,C114),"")</f>
        <v>Aarne Välja</v>
      </c>
      <c r="F112" s="566"/>
      <c r="G112" s="562">
        <v>7</v>
      </c>
      <c r="H112" s="55"/>
      <c r="I112" s="55"/>
      <c r="J112"/>
      <c r="K112"/>
      <c r="L112" s="32"/>
      <c r="M112"/>
      <c r="N112"/>
    </row>
    <row r="113" spans="1:14" ht="13.5" thickBot="1" x14ac:dyDescent="0.25">
      <c r="A113" s="558" t="s">
        <v>378</v>
      </c>
      <c r="B113" s="556" t="str">
        <f>IFERROR(INDEX(B$1:B$100,MATCH(A113,I$1:I$100,0)),"")</f>
        <v>Aarne Välja</v>
      </c>
      <c r="C113" s="557">
        <v>13</v>
      </c>
      <c r="D113" s="564"/>
      <c r="E113" s="565"/>
      <c r="F113" s="554"/>
      <c r="G113" s="554"/>
      <c r="H113" s="567" t="str">
        <f>IF(COUNT(G104,G112)=2,IF(G104&lt;G112,E104,E112),"")</f>
        <v>Aarne Välja</v>
      </c>
      <c r="I113" s="571"/>
      <c r="J113"/>
      <c r="K113"/>
      <c r="L113" s="32"/>
      <c r="M113"/>
      <c r="N113"/>
    </row>
    <row r="114" spans="1:14" x14ac:dyDescent="0.2">
      <c r="A114" s="558"/>
      <c r="B114" s="644"/>
      <c r="C114" s="560" t="str">
        <f>IF(COUNT(C113,C115)=2,IF(C113&gt;C115,B113,B115),"")</f>
        <v>Aarne Välja</v>
      </c>
      <c r="D114" s="566"/>
      <c r="E114" s="562">
        <v>13</v>
      </c>
      <c r="F114" s="55"/>
      <c r="G114" s="554"/>
      <c r="H114" s="569" t="s">
        <v>386</v>
      </c>
      <c r="I114" s="554"/>
      <c r="J114"/>
      <c r="K114"/>
      <c r="M114"/>
      <c r="N114"/>
    </row>
    <row r="115" spans="1:14" x14ac:dyDescent="0.2">
      <c r="A115" s="558" t="s">
        <v>381</v>
      </c>
      <c r="B115" s="561" t="str">
        <f>IFERROR(INDEX(B$1:B$100,MATCH(A115,I$1:I$100,0)),"")</f>
        <v>Janek Tarto</v>
      </c>
      <c r="C115" s="562">
        <v>2</v>
      </c>
      <c r="D115" s="55"/>
      <c r="E115" s="554"/>
      <c r="F115" s="554"/>
      <c r="G115" s="554"/>
      <c r="H115" s="55"/>
      <c r="I115" s="55"/>
      <c r="J115"/>
      <c r="K115"/>
      <c r="M115"/>
      <c r="N115"/>
    </row>
    <row r="116" spans="1:14" x14ac:dyDescent="0.2">
      <c r="A116" s="538"/>
      <c r="B116" s="539"/>
      <c r="C116" s="55"/>
      <c r="D116" s="55"/>
      <c r="E116" s="551" t="str">
        <f>IF(COUNT(E102,E106)=2,IF(E102&lt;E106,C102,C106),"")</f>
        <v>Tõnu Kapper</v>
      </c>
      <c r="F116" s="55"/>
      <c r="G116" s="557">
        <v>9</v>
      </c>
      <c r="H116" s="55"/>
      <c r="I116" s="55"/>
      <c r="J116"/>
      <c r="K116"/>
      <c r="L116"/>
      <c r="M116"/>
      <c r="N116"/>
    </row>
    <row r="117" spans="1:14" ht="13.5" thickBot="1" x14ac:dyDescent="0.25">
      <c r="A117" s="55"/>
      <c r="B117" s="55"/>
      <c r="C117" s="55"/>
      <c r="D117" s="55"/>
      <c r="E117" s="646"/>
      <c r="F117" s="645"/>
      <c r="G117" s="571"/>
      <c r="H117" s="567" t="str">
        <f>IF(COUNT(G116,G118)=2,IF(G116&gt;G118,E116,E118),"")</f>
        <v>Boriss Klubov</v>
      </c>
      <c r="I117" s="571"/>
      <c r="J117"/>
      <c r="K117"/>
      <c r="L117"/>
      <c r="M117"/>
      <c r="N117"/>
    </row>
    <row r="118" spans="1:14" x14ac:dyDescent="0.2">
      <c r="A118" s="55"/>
      <c r="B118" s="55"/>
      <c r="C118" s="55"/>
      <c r="D118" s="55"/>
      <c r="E118" s="572" t="str">
        <f>IF(COUNT(E110,E114)=2,IF(E110&lt;E114,C110,C114),"")</f>
        <v>Boriss Klubov</v>
      </c>
      <c r="F118" s="566"/>
      <c r="G118" s="562">
        <v>13</v>
      </c>
      <c r="H118" s="523" t="s">
        <v>388</v>
      </c>
      <c r="I118" s="554"/>
      <c r="J118"/>
      <c r="K118"/>
      <c r="L118"/>
      <c r="M118"/>
      <c r="N118"/>
    </row>
    <row r="119" spans="1:14" x14ac:dyDescent="0.2">
      <c r="A119" s="55"/>
      <c r="B119" s="55"/>
      <c r="C119" s="55"/>
      <c r="D119" s="55"/>
      <c r="E119" s="55"/>
      <c r="F119" s="55"/>
      <c r="G119" s="55"/>
      <c r="H119" s="554"/>
      <c r="I119" s="554"/>
      <c r="J119"/>
      <c r="K119"/>
      <c r="L119"/>
      <c r="M119"/>
      <c r="N119"/>
    </row>
    <row r="120" spans="1:14" ht="13.5" thickBot="1" x14ac:dyDescent="0.25">
      <c r="A120" s="55"/>
      <c r="B120" s="55"/>
      <c r="C120" s="55"/>
      <c r="D120" s="55"/>
      <c r="E120" s="554"/>
      <c r="F120" s="554"/>
      <c r="G120" s="55"/>
      <c r="H120" s="567" t="str">
        <f>IF(COUNT(G116,G118)=2,IF(G116&lt;G118,E116,E118),"")</f>
        <v>Tõnu Kapper</v>
      </c>
      <c r="I120" s="571"/>
      <c r="J120"/>
      <c r="K120"/>
      <c r="L120"/>
      <c r="M120"/>
      <c r="N120"/>
    </row>
    <row r="121" spans="1:14" x14ac:dyDescent="0.2">
      <c r="A121" s="55"/>
      <c r="B121" s="55"/>
      <c r="C121" s="55"/>
      <c r="D121" s="55"/>
      <c r="E121" s="55"/>
      <c r="F121" s="55"/>
      <c r="G121" s="55"/>
      <c r="H121" s="538" t="s">
        <v>389</v>
      </c>
      <c r="I121" s="55"/>
      <c r="J121"/>
      <c r="K121"/>
      <c r="L121"/>
      <c r="M121"/>
      <c r="N121"/>
    </row>
    <row r="122" spans="1:14" x14ac:dyDescent="0.2">
      <c r="A122" s="55"/>
      <c r="B122" s="55"/>
      <c r="C122" s="572" t="str">
        <f>IF(COUNT(C101,C103)=2,IF(C101&lt;C103,B101,B103),"")</f>
        <v>Mait Metsla</v>
      </c>
      <c r="D122" s="55"/>
      <c r="E122" s="557">
        <v>13</v>
      </c>
      <c r="F122" s="557"/>
      <c r="G122" s="557"/>
      <c r="H122" s="55"/>
      <c r="I122" s="55"/>
      <c r="J122"/>
      <c r="K122"/>
      <c r="L122"/>
      <c r="M122"/>
      <c r="N122"/>
    </row>
    <row r="123" spans="1:14" x14ac:dyDescent="0.2">
      <c r="A123" s="55"/>
      <c r="B123" s="55"/>
      <c r="C123" s="647"/>
      <c r="D123" s="648"/>
      <c r="E123" s="560" t="str">
        <f>IF(COUNT(E122,E124)=2,IF(E122&gt;E124,C122,C124),"")</f>
        <v>Mait Metsla</v>
      </c>
      <c r="F123" s="55"/>
      <c r="G123" s="651">
        <v>13</v>
      </c>
      <c r="H123" s="55"/>
      <c r="I123" s="55"/>
      <c r="J123"/>
      <c r="K123"/>
      <c r="L123"/>
      <c r="M123"/>
      <c r="N123"/>
    </row>
    <row r="124" spans="1:14" x14ac:dyDescent="0.2">
      <c r="A124" s="55"/>
      <c r="B124" s="55"/>
      <c r="C124" s="572" t="str">
        <f>IF(COUNT(C105,C107)=2,IF(C105&lt;C107,B105,B107),"")</f>
        <v>Oleg Rõndenkov</v>
      </c>
      <c r="D124" s="574"/>
      <c r="E124" s="562">
        <v>5</v>
      </c>
      <c r="F124" s="648"/>
      <c r="G124" s="557"/>
      <c r="H124" s="55"/>
      <c r="I124" s="55"/>
      <c r="J124"/>
      <c r="K124"/>
      <c r="L124"/>
      <c r="M124"/>
      <c r="N124"/>
    </row>
    <row r="125" spans="1:14" ht="13.5" thickBot="1" x14ac:dyDescent="0.25">
      <c r="A125" s="55"/>
      <c r="B125" s="55"/>
      <c r="C125" s="557"/>
      <c r="D125" s="557"/>
      <c r="E125" s="55"/>
      <c r="F125" s="576"/>
      <c r="G125" s="557"/>
      <c r="H125" s="567" t="str">
        <f>IF(COUNT(G123,G127)=2,IF(G123&gt;G127,E123,E127),"")</f>
        <v>Mait Metsla</v>
      </c>
      <c r="I125" s="55"/>
      <c r="J125"/>
      <c r="K125"/>
      <c r="L125"/>
      <c r="M125"/>
      <c r="N125"/>
    </row>
    <row r="126" spans="1:14" x14ac:dyDescent="0.2">
      <c r="A126" s="55"/>
      <c r="B126" s="55"/>
      <c r="C126" s="572" t="str">
        <f>IF(COUNT(C109,C111)=2,IF(C109&lt;C111,B109,B111),"")</f>
        <v>Matti Vinni</v>
      </c>
      <c r="D126" s="557"/>
      <c r="E126" s="557">
        <v>6</v>
      </c>
      <c r="F126" s="576"/>
      <c r="G126" s="577"/>
      <c r="H126" s="569" t="s">
        <v>390</v>
      </c>
      <c r="I126" s="570"/>
      <c r="J126"/>
      <c r="K126"/>
      <c r="L126"/>
      <c r="M126"/>
      <c r="N126"/>
    </row>
    <row r="127" spans="1:14" x14ac:dyDescent="0.2">
      <c r="A127" s="55"/>
      <c r="B127" s="55"/>
      <c r="C127" s="647"/>
      <c r="D127" s="648"/>
      <c r="E127" s="560" t="str">
        <f>IF(COUNT(E126,E128)=2,IF(E126&gt;E128,C126,C128),"")</f>
        <v>Janek Tarto</v>
      </c>
      <c r="F127" s="566"/>
      <c r="G127" s="562">
        <v>5</v>
      </c>
      <c r="H127" s="55"/>
      <c r="I127" s="55"/>
      <c r="J127"/>
      <c r="K127"/>
      <c r="L127"/>
      <c r="M127"/>
      <c r="N127"/>
    </row>
    <row r="128" spans="1:14" ht="13.5" thickBot="1" x14ac:dyDescent="0.25">
      <c r="A128" s="55"/>
      <c r="B128" s="55"/>
      <c r="C128" s="572" t="str">
        <f>IF(COUNT(C113,C115)=2,IF(C113&lt;C115,B113,B115),"")</f>
        <v>Janek Tarto</v>
      </c>
      <c r="D128" s="574"/>
      <c r="E128" s="562">
        <v>13</v>
      </c>
      <c r="F128" s="557"/>
      <c r="G128" s="575"/>
      <c r="H128" s="567" t="str">
        <f>IF(COUNT(G123,G127)=2,IF(G123&lt;G127,E123,E127),"")</f>
        <v>Janek Tarto</v>
      </c>
      <c r="I128" s="571"/>
      <c r="J128"/>
      <c r="K128"/>
      <c r="L128"/>
      <c r="M128"/>
      <c r="N128"/>
    </row>
    <row r="129" spans="1:14" x14ac:dyDescent="0.2">
      <c r="A129" s="55"/>
      <c r="B129" s="55"/>
      <c r="C129" s="557"/>
      <c r="D129" s="557"/>
      <c r="E129" s="557"/>
      <c r="F129" s="557"/>
      <c r="G129" s="575"/>
      <c r="H129" s="569" t="s">
        <v>391</v>
      </c>
      <c r="I129" s="554"/>
      <c r="J129"/>
      <c r="K129"/>
      <c r="L129"/>
      <c r="M129"/>
      <c r="N129"/>
    </row>
    <row r="130" spans="1:14" x14ac:dyDescent="0.2">
      <c r="A130" s="55"/>
      <c r="B130" s="55"/>
      <c r="C130" s="557"/>
      <c r="D130" s="575"/>
      <c r="E130" s="551" t="str">
        <f>IF(COUNT(E122,E124)=2,IF(E122&lt;E124,C122,C124),"")</f>
        <v>Oleg Rõndenkov</v>
      </c>
      <c r="F130" s="55"/>
      <c r="G130" s="557">
        <v>13</v>
      </c>
      <c r="H130" s="554"/>
      <c r="I130" s="554"/>
      <c r="J130"/>
      <c r="K130"/>
      <c r="L130"/>
      <c r="M130"/>
      <c r="N130"/>
    </row>
    <row r="131" spans="1:14" ht="13.5" thickBot="1" x14ac:dyDescent="0.25">
      <c r="A131" s="55"/>
      <c r="B131" s="55"/>
      <c r="C131" s="557"/>
      <c r="D131" s="575"/>
      <c r="E131" s="646"/>
      <c r="F131" s="645"/>
      <c r="G131" s="571"/>
      <c r="H131" s="567" t="str">
        <f>IF(COUNT(G130,G132)=2,IF(G130&gt;G132,E130,E132),"")</f>
        <v>Oleg Rõndenkov</v>
      </c>
      <c r="I131" s="571"/>
      <c r="J131"/>
      <c r="K131"/>
      <c r="L131"/>
      <c r="M131"/>
      <c r="N131"/>
    </row>
    <row r="132" spans="1:14" x14ac:dyDescent="0.2">
      <c r="A132" s="55"/>
      <c r="B132" s="55"/>
      <c r="C132" s="557"/>
      <c r="D132" s="575"/>
      <c r="E132" s="572" t="str">
        <f>IF(COUNT(E126,E128)=2,IF(E126&lt;E128,C126,C128),"")</f>
        <v>Matti Vinni</v>
      </c>
      <c r="F132" s="566"/>
      <c r="G132" s="562">
        <v>0</v>
      </c>
      <c r="H132" s="569" t="s">
        <v>392</v>
      </c>
      <c r="I132" s="554"/>
      <c r="J132"/>
      <c r="K132"/>
      <c r="L132"/>
      <c r="M132"/>
      <c r="N132"/>
    </row>
    <row r="133" spans="1:14" x14ac:dyDescent="0.2">
      <c r="A133" s="55"/>
      <c r="B133" s="55"/>
      <c r="C133" s="55"/>
      <c r="D133" s="554"/>
      <c r="E133" s="55"/>
      <c r="F133" s="55"/>
      <c r="G133" s="55"/>
      <c r="H133" s="554"/>
      <c r="I133" s="554"/>
      <c r="J133"/>
      <c r="K133"/>
      <c r="L133"/>
      <c r="M133"/>
      <c r="N133"/>
    </row>
    <row r="134" spans="1:14" ht="13.5" thickBot="1" x14ac:dyDescent="0.25">
      <c r="A134" s="55"/>
      <c r="B134" s="55"/>
      <c r="C134" s="55"/>
      <c r="D134" s="55"/>
      <c r="E134" s="554"/>
      <c r="F134" s="554"/>
      <c r="G134" s="55"/>
      <c r="H134" s="571" t="str">
        <f>IF(COUNT(G130,G132)=2,IF(G130&lt;G132,E130,E132),"")</f>
        <v>Matti Vinni</v>
      </c>
      <c r="I134" s="571"/>
      <c r="J134"/>
      <c r="K134"/>
      <c r="L134"/>
      <c r="M134"/>
      <c r="N134"/>
    </row>
    <row r="135" spans="1:14" x14ac:dyDescent="0.2">
      <c r="A135" s="578"/>
      <c r="B135" s="579"/>
      <c r="C135" s="527"/>
      <c r="D135" s="527"/>
      <c r="E135" s="527"/>
      <c r="F135" s="527"/>
      <c r="G135" s="528"/>
      <c r="H135" s="569" t="s">
        <v>393</v>
      </c>
      <c r="I135" s="506"/>
      <c r="J135"/>
      <c r="K135"/>
      <c r="L135"/>
      <c r="M135"/>
      <c r="N135"/>
    </row>
    <row r="136" spans="1:14" x14ac:dyDescent="0.2">
      <c r="A136"/>
      <c r="B136"/>
      <c r="C136"/>
      <c r="D136"/>
      <c r="E136"/>
      <c r="F136"/>
      <c r="G136"/>
      <c r="H136"/>
      <c r="I136"/>
      <c r="J136"/>
      <c r="K136"/>
      <c r="L136"/>
      <c r="M136"/>
      <c r="N136"/>
    </row>
    <row r="137" spans="1:14" x14ac:dyDescent="0.2">
      <c r="A137" s="553" t="s">
        <v>499</v>
      </c>
      <c r="B137" s="554"/>
      <c r="C137" s="525"/>
      <c r="D137" s="525"/>
      <c r="E137" s="525"/>
      <c r="F137" s="527"/>
      <c r="G137" s="550"/>
      <c r="H137" s="55"/>
      <c r="I137" s="35"/>
      <c r="J137"/>
      <c r="K137"/>
      <c r="L137"/>
      <c r="M137"/>
      <c r="N137"/>
    </row>
    <row r="138" spans="1:14" x14ac:dyDescent="0.2">
      <c r="A138" s="55"/>
      <c r="B138" s="55"/>
      <c r="C138" s="55"/>
      <c r="D138" s="55"/>
      <c r="E138" s="55"/>
      <c r="F138" s="55"/>
      <c r="G138" s="55"/>
      <c r="H138" s="55"/>
      <c r="I138" s="35"/>
      <c r="J138"/>
      <c r="K138"/>
      <c r="L138"/>
      <c r="M138"/>
      <c r="N138"/>
    </row>
    <row r="139" spans="1:14" x14ac:dyDescent="0.2">
      <c r="A139" s="555" t="s">
        <v>394</v>
      </c>
      <c r="B139" s="556" t="str">
        <f>IFERROR(INDEX(B$1:B$100,MATCH(A139,I$1:I$100,0)),"")</f>
        <v>Argo Sepp</v>
      </c>
      <c r="C139" s="557">
        <v>13</v>
      </c>
      <c r="D139" s="55"/>
      <c r="E139" s="55"/>
      <c r="F139" s="55"/>
      <c r="G139" s="55"/>
      <c r="H139" s="55"/>
      <c r="I139" s="35"/>
      <c r="J139"/>
      <c r="K139"/>
      <c r="L139"/>
      <c r="M139"/>
      <c r="N139"/>
    </row>
    <row r="140" spans="1:14" x14ac:dyDescent="0.2">
      <c r="A140" s="592"/>
      <c r="B140" s="644"/>
      <c r="C140" s="560" t="str">
        <f>IF(COUNT(C139,C141)=2,IF(C139&gt;C141,B139,B141),"")</f>
        <v>Argo Sepp</v>
      </c>
      <c r="D140" s="55"/>
      <c r="E140" s="915">
        <v>3</v>
      </c>
      <c r="F140" s="55"/>
      <c r="G140" s="55"/>
      <c r="H140" s="55"/>
      <c r="I140" s="55"/>
      <c r="J140"/>
      <c r="K140"/>
      <c r="L140"/>
      <c r="M140"/>
      <c r="N140"/>
    </row>
    <row r="141" spans="1:14" x14ac:dyDescent="0.2">
      <c r="A141" s="592" t="s">
        <v>397</v>
      </c>
      <c r="B141" s="561" t="str">
        <f>IFERROR(INDEX(B$1:B$100,MATCH(A141,I$1:I$100,0)),"")</f>
        <v>Elmo Lageda</v>
      </c>
      <c r="C141" s="562">
        <v>7</v>
      </c>
      <c r="D141" s="645"/>
      <c r="E141" s="55"/>
      <c r="F141" s="55"/>
      <c r="G141" s="55"/>
      <c r="H141" s="55"/>
      <c r="I141" s="55"/>
      <c r="J141"/>
      <c r="K141"/>
      <c r="L141"/>
      <c r="M141"/>
      <c r="N141"/>
    </row>
    <row r="142" spans="1:14" x14ac:dyDescent="0.2">
      <c r="A142" s="592"/>
      <c r="B142" s="539"/>
      <c r="C142" s="55"/>
      <c r="D142" s="564"/>
      <c r="E142" s="560" t="str">
        <f>IF(COUNT(E140,E144)=2,IF(E140&gt;E144,C140,C144),"")</f>
        <v>Vladimir Ogneštšikov</v>
      </c>
      <c r="F142" s="55"/>
      <c r="G142" s="557">
        <v>10</v>
      </c>
      <c r="H142" s="55"/>
      <c r="I142" s="55"/>
      <c r="J142"/>
      <c r="K142"/>
      <c r="L142"/>
      <c r="M142"/>
      <c r="N142"/>
    </row>
    <row r="143" spans="1:14" x14ac:dyDescent="0.2">
      <c r="A143" s="592" t="s">
        <v>396</v>
      </c>
      <c r="B143" s="556" t="str">
        <f>IFERROR(INDEX(B$1:B$100,MATCH(A143,I$1:I$100,0)),"")</f>
        <v>Andrei Grintšak</v>
      </c>
      <c r="C143" s="557">
        <v>8</v>
      </c>
      <c r="D143" s="564"/>
      <c r="E143" s="565"/>
      <c r="F143" s="645"/>
      <c r="G143" s="55"/>
      <c r="H143" s="55"/>
      <c r="I143" s="55"/>
      <c r="J143"/>
      <c r="K143"/>
      <c r="L143"/>
      <c r="M143"/>
      <c r="N143"/>
    </row>
    <row r="144" spans="1:14" x14ac:dyDescent="0.2">
      <c r="A144" s="592"/>
      <c r="B144" s="644"/>
      <c r="C144" s="560" t="str">
        <f>IF(COUNT(C143,C145)=2,IF(C143&gt;C145,B143,B145),"")</f>
        <v>Vladimir Ogneštšikov</v>
      </c>
      <c r="D144" s="566"/>
      <c r="E144" s="562">
        <v>13</v>
      </c>
      <c r="F144" s="564"/>
      <c r="G144" s="55"/>
      <c r="H144" s="55"/>
      <c r="I144" s="55"/>
      <c r="J144"/>
      <c r="K144"/>
      <c r="L144"/>
      <c r="M144"/>
      <c r="N144"/>
    </row>
    <row r="145" spans="1:14" x14ac:dyDescent="0.2">
      <c r="A145" s="592" t="s">
        <v>395</v>
      </c>
      <c r="B145" s="561" t="str">
        <f>IFERROR(INDEX(B$1:B$100,MATCH(A145,I$1:I$100,0)),"")</f>
        <v>Vladimir Ogneštšikov</v>
      </c>
      <c r="C145" s="562">
        <v>13</v>
      </c>
      <c r="D145" s="55"/>
      <c r="E145" s="554"/>
      <c r="F145" s="564"/>
      <c r="G145" s="55"/>
      <c r="H145" s="55"/>
      <c r="I145" s="55"/>
      <c r="J145"/>
      <c r="K145"/>
      <c r="L145"/>
      <c r="M145"/>
      <c r="N145"/>
    </row>
    <row r="146" spans="1:14" ht="13.5" thickBot="1" x14ac:dyDescent="0.25">
      <c r="A146" s="593"/>
      <c r="B146" s="539"/>
      <c r="C146" s="55"/>
      <c r="D146" s="55"/>
      <c r="E146" s="554"/>
      <c r="F146" s="564"/>
      <c r="G146" s="55"/>
      <c r="H146" s="567" t="str">
        <f>IF(COUNT(G142,G150)=2,IF(G142&gt;G150,E142,E150),"")</f>
        <v>Meelis Luud</v>
      </c>
      <c r="I146" s="55"/>
      <c r="J146"/>
      <c r="K146"/>
      <c r="L146"/>
      <c r="M146"/>
      <c r="N146"/>
    </row>
    <row r="147" spans="1:14" x14ac:dyDescent="0.2">
      <c r="A147" s="555" t="s">
        <v>398</v>
      </c>
      <c r="B147" s="556" t="str">
        <f>IFERROR(INDEX(B$1:B$100,MATCH(A147,I$1:I$100,0)),"")</f>
        <v>Jaan Sepp</v>
      </c>
      <c r="C147" s="557">
        <v>4</v>
      </c>
      <c r="D147" s="55"/>
      <c r="E147" s="55"/>
      <c r="F147" s="564"/>
      <c r="G147" s="568"/>
      <c r="H147" s="569" t="s">
        <v>399</v>
      </c>
      <c r="I147" s="570"/>
      <c r="J147"/>
      <c r="K147"/>
      <c r="L147"/>
      <c r="M147"/>
      <c r="N147"/>
    </row>
    <row r="148" spans="1:14" x14ac:dyDescent="0.2">
      <c r="A148" s="592"/>
      <c r="B148" s="644"/>
      <c r="C148" s="560" t="str">
        <f>IF(COUNT(C147,C149)=2,IF(C147&gt;C149,B147,B149),"")</f>
        <v>Meelis Luud</v>
      </c>
      <c r="D148" s="55"/>
      <c r="E148" s="557">
        <v>13</v>
      </c>
      <c r="F148" s="564"/>
      <c r="G148" s="554"/>
      <c r="H148" s="55"/>
      <c r="I148" s="55"/>
      <c r="J148"/>
      <c r="K148"/>
      <c r="L148"/>
      <c r="M148"/>
      <c r="N148"/>
    </row>
    <row r="149" spans="1:14" x14ac:dyDescent="0.2">
      <c r="A149" s="592" t="s">
        <v>400</v>
      </c>
      <c r="B149" s="561" t="str">
        <f>IFERROR(INDEX(B$1:B$100,MATCH(A149,I$1:I$100,0)),"")</f>
        <v>Meelis Luud</v>
      </c>
      <c r="C149" s="562">
        <v>13</v>
      </c>
      <c r="D149" s="645"/>
      <c r="E149" s="55"/>
      <c r="F149" s="564"/>
      <c r="G149" s="554"/>
      <c r="H149" s="55"/>
      <c r="I149" s="55"/>
      <c r="J149"/>
      <c r="K149"/>
      <c r="L149"/>
      <c r="M149"/>
      <c r="N149"/>
    </row>
    <row r="150" spans="1:14" x14ac:dyDescent="0.2">
      <c r="A150" s="592"/>
      <c r="B150" s="539"/>
      <c r="C150" s="55"/>
      <c r="D150" s="564"/>
      <c r="E150" s="560" t="str">
        <f>IF(COUNT(E148,E152)=2,IF(E148&gt;E152,C148,C152),"")</f>
        <v>Meelis Luud</v>
      </c>
      <c r="F150" s="566"/>
      <c r="G150" s="562">
        <v>13</v>
      </c>
      <c r="H150" s="55"/>
      <c r="I150" s="55"/>
      <c r="J150"/>
      <c r="K150"/>
      <c r="L150"/>
      <c r="M150"/>
      <c r="N150"/>
    </row>
    <row r="151" spans="1:14" ht="13.5" thickBot="1" x14ac:dyDescent="0.25">
      <c r="A151" s="592" t="s">
        <v>403</v>
      </c>
      <c r="B151" s="556" t="str">
        <f>IFERROR(INDEX(B$1:B$100,MATCH(A151,I$1:I$100,0)),"")</f>
        <v>Tõnu Piik</v>
      </c>
      <c r="C151" s="557">
        <v>13</v>
      </c>
      <c r="D151" s="564"/>
      <c r="E151" s="565"/>
      <c r="F151" s="554"/>
      <c r="G151" s="554"/>
      <c r="H151" s="567" t="str">
        <f>IF(COUNT(G142,G150)=2,IF(G142&lt;G150,E142,E150),"")</f>
        <v>Vladimir Ogneštšikov</v>
      </c>
      <c r="I151" s="571"/>
      <c r="J151"/>
      <c r="K151"/>
      <c r="L151"/>
      <c r="M151"/>
      <c r="N151"/>
    </row>
    <row r="152" spans="1:14" x14ac:dyDescent="0.2">
      <c r="A152" s="592"/>
      <c r="B152" s="644"/>
      <c r="C152" s="560" t="str">
        <f>IF(COUNT(C151,C153)=2,IF(C151&gt;C153,B151,B153),"")</f>
        <v>Tõnu Piik</v>
      </c>
      <c r="D152" s="566"/>
      <c r="E152" s="562">
        <v>5</v>
      </c>
      <c r="F152" s="55"/>
      <c r="G152" s="554"/>
      <c r="H152" s="569" t="s">
        <v>402</v>
      </c>
      <c r="I152" s="554"/>
      <c r="J152"/>
      <c r="K152"/>
      <c r="L152"/>
      <c r="M152"/>
      <c r="N152"/>
    </row>
    <row r="153" spans="1:14" x14ac:dyDescent="0.2">
      <c r="A153" s="592" t="s">
        <v>401</v>
      </c>
      <c r="B153" s="561" t="str">
        <f>IFERROR(INDEX(B$1:B$100,MATCH(A153,I$1:I$100,0)),"")</f>
        <v>Emil Murzajev</v>
      </c>
      <c r="C153" s="650">
        <v>0</v>
      </c>
      <c r="D153" s="55"/>
      <c r="E153" s="554"/>
      <c r="F153" s="554"/>
      <c r="G153" s="554"/>
      <c r="H153" s="55"/>
      <c r="I153" s="55"/>
      <c r="J153"/>
      <c r="K153"/>
      <c r="L153"/>
      <c r="M153"/>
      <c r="N153"/>
    </row>
    <row r="154" spans="1:14" x14ac:dyDescent="0.2">
      <c r="A154" s="538"/>
      <c r="B154" s="539"/>
      <c r="C154" s="55"/>
      <c r="D154" s="55"/>
      <c r="E154" s="551" t="str">
        <f>IF(COUNT(E140,E144)=2,IF(E140&lt;E144,C140,C144),"")</f>
        <v>Argo Sepp</v>
      </c>
      <c r="F154" s="55"/>
      <c r="G154" s="557">
        <v>8</v>
      </c>
      <c r="H154" s="55"/>
      <c r="I154" s="55"/>
      <c r="J154"/>
      <c r="K154"/>
      <c r="L154"/>
      <c r="M154"/>
      <c r="N154"/>
    </row>
    <row r="155" spans="1:14" ht="13.5" thickBot="1" x14ac:dyDescent="0.25">
      <c r="A155" s="55"/>
      <c r="B155" s="55"/>
      <c r="C155" s="55"/>
      <c r="D155" s="55"/>
      <c r="E155" s="646"/>
      <c r="F155" s="645"/>
      <c r="G155" s="571"/>
      <c r="H155" s="567" t="str">
        <f>IF(COUNT(G154,G156)=2,IF(G154&gt;G156,E154,E156),"")</f>
        <v>Tõnu Piik</v>
      </c>
      <c r="I155" s="571"/>
      <c r="J155"/>
      <c r="K155"/>
      <c r="L155"/>
      <c r="M155"/>
      <c r="N155"/>
    </row>
    <row r="156" spans="1:14" x14ac:dyDescent="0.2">
      <c r="A156" s="55"/>
      <c r="B156" s="55"/>
      <c r="C156" s="55"/>
      <c r="D156" s="55"/>
      <c r="E156" s="572" t="str">
        <f>IF(COUNT(E148,E152)=2,IF(E148&lt;E152,C148,C152),"")</f>
        <v>Tõnu Piik</v>
      </c>
      <c r="F156" s="566"/>
      <c r="G156" s="562">
        <v>13</v>
      </c>
      <c r="H156" s="523" t="s">
        <v>404</v>
      </c>
      <c r="I156" s="554"/>
      <c r="J156"/>
      <c r="K156"/>
      <c r="L156"/>
      <c r="M156"/>
      <c r="N156"/>
    </row>
    <row r="157" spans="1:14" x14ac:dyDescent="0.2">
      <c r="A157" s="55"/>
      <c r="B157" s="55"/>
      <c r="C157" s="55"/>
      <c r="D157" s="55"/>
      <c r="E157" s="55"/>
      <c r="F157" s="55"/>
      <c r="G157" s="55"/>
      <c r="H157" s="554"/>
      <c r="I157" s="554"/>
      <c r="J157"/>
      <c r="K157"/>
      <c r="L157"/>
      <c r="M157"/>
      <c r="N157"/>
    </row>
    <row r="158" spans="1:14" ht="13.5" thickBot="1" x14ac:dyDescent="0.25">
      <c r="A158" s="55"/>
      <c r="B158" s="55"/>
      <c r="C158" s="55"/>
      <c r="D158" s="55"/>
      <c r="E158" s="554"/>
      <c r="F158" s="554"/>
      <c r="G158" s="55"/>
      <c r="H158" s="567" t="str">
        <f>IF(COUNT(G154,G156)=2,IF(G154&lt;G156,E154,E156),"")</f>
        <v>Argo Sepp</v>
      </c>
      <c r="I158" s="571"/>
      <c r="J158"/>
      <c r="K158"/>
      <c r="L158"/>
      <c r="M158"/>
      <c r="N158"/>
    </row>
    <row r="159" spans="1:14" x14ac:dyDescent="0.2">
      <c r="A159" s="55"/>
      <c r="B159" s="55"/>
      <c r="C159" s="55"/>
      <c r="D159" s="55"/>
      <c r="E159" s="55"/>
      <c r="F159" s="55"/>
      <c r="G159" s="55"/>
      <c r="H159" s="538" t="s">
        <v>405</v>
      </c>
      <c r="I159" s="55"/>
      <c r="J159"/>
      <c r="K159"/>
      <c r="L159"/>
      <c r="M159"/>
      <c r="N159"/>
    </row>
    <row r="160" spans="1:14" x14ac:dyDescent="0.2">
      <c r="A160" s="55"/>
      <c r="B160" s="55"/>
      <c r="C160" s="572" t="str">
        <f>IF(COUNT(C139,C141)=2,IF(C139&lt;C141,B139,B141),"")</f>
        <v>Elmo Lageda</v>
      </c>
      <c r="D160" s="55"/>
      <c r="E160" s="557">
        <v>10</v>
      </c>
      <c r="F160" s="557"/>
      <c r="G160" s="557"/>
      <c r="H160" s="55"/>
      <c r="I160" s="55"/>
      <c r="J160"/>
      <c r="K160"/>
      <c r="L160"/>
      <c r="M160"/>
      <c r="N160"/>
    </row>
    <row r="161" spans="1:14" x14ac:dyDescent="0.2">
      <c r="A161" s="55"/>
      <c r="B161" s="55"/>
      <c r="C161" s="647"/>
      <c r="D161" s="648"/>
      <c r="E161" s="560" t="str">
        <f>IF(COUNT(E160,E162)=2,IF(E160&gt;E162,C160,C162),"")</f>
        <v>Andrei Grintšak</v>
      </c>
      <c r="F161" s="55"/>
      <c r="G161" s="557">
        <v>13</v>
      </c>
      <c r="H161" s="55"/>
      <c r="I161" s="55"/>
      <c r="J161"/>
      <c r="K161"/>
      <c r="L161"/>
      <c r="M161"/>
      <c r="N161"/>
    </row>
    <row r="162" spans="1:14" x14ac:dyDescent="0.2">
      <c r="A162" s="55"/>
      <c r="B162" s="55"/>
      <c r="C162" s="572" t="str">
        <f>IF(COUNT(C143,C145)=2,IF(C143&lt;C145,B143,B145),"")</f>
        <v>Andrei Grintšak</v>
      </c>
      <c r="D162" s="574"/>
      <c r="E162" s="562">
        <v>13</v>
      </c>
      <c r="F162" s="648"/>
      <c r="G162" s="557"/>
      <c r="H162" s="55"/>
      <c r="I162" s="55"/>
      <c r="J162"/>
      <c r="K162"/>
      <c r="L162"/>
      <c r="M162"/>
      <c r="N162"/>
    </row>
    <row r="163" spans="1:14" ht="13.5" thickBot="1" x14ac:dyDescent="0.25">
      <c r="A163" s="55"/>
      <c r="B163" s="55"/>
      <c r="C163" s="557"/>
      <c r="D163" s="557"/>
      <c r="E163" s="55"/>
      <c r="F163" s="576"/>
      <c r="G163" s="557"/>
      <c r="H163" s="567" t="str">
        <f>IF(COUNT(G161,G165)=2,IF(G161&gt;G165,E161,E165),"")</f>
        <v>Andrei Grintšak</v>
      </c>
      <c r="I163" s="55"/>
      <c r="J163"/>
      <c r="K163"/>
      <c r="L163"/>
      <c r="M163"/>
      <c r="N163"/>
    </row>
    <row r="164" spans="1:14" x14ac:dyDescent="0.2">
      <c r="A164" s="55"/>
      <c r="B164" s="55"/>
      <c r="C164" s="572" t="str">
        <f>IF(COUNT(C147,C149)=2,IF(C147&lt;C149,B147,B149),"")</f>
        <v>Jaan Sepp</v>
      </c>
      <c r="D164" s="557"/>
      <c r="E164" s="557">
        <v>12</v>
      </c>
      <c r="F164" s="576"/>
      <c r="G164" s="577"/>
      <c r="H164" s="569" t="s">
        <v>406</v>
      </c>
      <c r="I164" s="570"/>
      <c r="J164"/>
      <c r="K164"/>
      <c r="L164"/>
      <c r="M164"/>
      <c r="N164"/>
    </row>
    <row r="165" spans="1:14" x14ac:dyDescent="0.2">
      <c r="A165" s="55"/>
      <c r="B165" s="55"/>
      <c r="C165" s="647"/>
      <c r="D165" s="648"/>
      <c r="E165" s="560" t="str">
        <f>IF(COUNT(E164,E166)=2,IF(E164&gt;E166,C164,C166),"")</f>
        <v>Emil Murzajev</v>
      </c>
      <c r="F165" s="566"/>
      <c r="G165" s="562">
        <v>4</v>
      </c>
      <c r="H165" s="55"/>
      <c r="I165" s="55"/>
      <c r="J165"/>
      <c r="K165"/>
      <c r="L165"/>
      <c r="M165"/>
      <c r="N165"/>
    </row>
    <row r="166" spans="1:14" ht="13.5" thickBot="1" x14ac:dyDescent="0.25">
      <c r="A166" s="55"/>
      <c r="B166" s="55"/>
      <c r="C166" s="572" t="str">
        <f>IF(COUNT(C151,C153)=2,IF(C151&lt;C153,B151,B153),"")</f>
        <v>Emil Murzajev</v>
      </c>
      <c r="D166" s="574"/>
      <c r="E166" s="562">
        <v>13</v>
      </c>
      <c r="F166" s="557"/>
      <c r="G166" s="575"/>
      <c r="H166" s="567" t="str">
        <f>IF(COUNT(G161,G165)=2,IF(G161&lt;G165,E161,E165),"")</f>
        <v>Emil Murzajev</v>
      </c>
      <c r="I166" s="571"/>
      <c r="J166"/>
      <c r="K166"/>
      <c r="L166"/>
      <c r="M166"/>
      <c r="N166"/>
    </row>
    <row r="167" spans="1:14" x14ac:dyDescent="0.2">
      <c r="A167" s="55"/>
      <c r="B167" s="55"/>
      <c r="C167" s="557"/>
      <c r="D167" s="557"/>
      <c r="E167" s="557"/>
      <c r="F167" s="557"/>
      <c r="G167" s="575"/>
      <c r="H167" s="569" t="s">
        <v>407</v>
      </c>
      <c r="I167" s="554"/>
      <c r="J167"/>
      <c r="K167"/>
      <c r="L167"/>
      <c r="M167"/>
      <c r="N167"/>
    </row>
    <row r="168" spans="1:14" x14ac:dyDescent="0.2">
      <c r="A168" s="55"/>
      <c r="B168" s="55"/>
      <c r="C168" s="557"/>
      <c r="D168" s="575"/>
      <c r="E168" s="551" t="str">
        <f>IF(COUNT(E160,E162)=2,IF(E160&lt;E162,C160,C162),"")</f>
        <v>Elmo Lageda</v>
      </c>
      <c r="F168" s="55"/>
      <c r="G168" s="557">
        <v>13</v>
      </c>
      <c r="H168" s="554"/>
      <c r="I168" s="554"/>
      <c r="J168"/>
      <c r="K168"/>
      <c r="L168"/>
      <c r="M168"/>
      <c r="N168"/>
    </row>
    <row r="169" spans="1:14" ht="13.5" thickBot="1" x14ac:dyDescent="0.25">
      <c r="A169" s="55"/>
      <c r="B169" s="55"/>
      <c r="C169" s="557"/>
      <c r="D169" s="575"/>
      <c r="E169" s="646"/>
      <c r="F169" s="645"/>
      <c r="G169" s="571"/>
      <c r="H169" s="567" t="str">
        <f>IF(COUNT(G168,G170)=2,IF(G168&gt;G170,E168,E170),"")</f>
        <v>Elmo Lageda</v>
      </c>
      <c r="I169" s="571"/>
      <c r="J169"/>
      <c r="K169"/>
      <c r="L169"/>
      <c r="M169"/>
      <c r="N169"/>
    </row>
    <row r="170" spans="1:14" x14ac:dyDescent="0.2">
      <c r="A170" s="55"/>
      <c r="B170" s="55"/>
      <c r="C170" s="557"/>
      <c r="D170" s="575"/>
      <c r="E170" s="572" t="str">
        <f>IF(COUNT(E164,E166)=2,IF(E164&lt;E166,C164,C166),"")</f>
        <v>Jaan Sepp</v>
      </c>
      <c r="F170" s="566"/>
      <c r="G170" s="650">
        <v>0</v>
      </c>
      <c r="H170" s="569" t="s">
        <v>408</v>
      </c>
      <c r="I170" s="554"/>
      <c r="J170"/>
      <c r="K170"/>
      <c r="L170"/>
      <c r="M170"/>
      <c r="N170"/>
    </row>
    <row r="171" spans="1:14" x14ac:dyDescent="0.2">
      <c r="A171" s="55"/>
      <c r="B171" s="55"/>
      <c r="C171" s="55"/>
      <c r="D171" s="554"/>
      <c r="E171" s="55"/>
      <c r="F171" s="55"/>
      <c r="G171" s="55"/>
      <c r="H171" s="554"/>
      <c r="I171" s="554"/>
      <c r="J171"/>
      <c r="K171"/>
      <c r="L171"/>
      <c r="M171"/>
      <c r="N171"/>
    </row>
    <row r="172" spans="1:14" ht="13.5" thickBot="1" x14ac:dyDescent="0.25">
      <c r="A172" s="55"/>
      <c r="B172" s="55"/>
      <c r="C172" s="55"/>
      <c r="D172" s="55"/>
      <c r="E172" s="554"/>
      <c r="F172" s="554"/>
      <c r="G172" s="55"/>
      <c r="H172" s="571" t="str">
        <f>IF(COUNT(G168,G170)=2,IF(G168&lt;G170,E168,E170),"")</f>
        <v>Jaan Sepp</v>
      </c>
      <c r="I172" s="571"/>
      <c r="J172"/>
      <c r="K172"/>
      <c r="L172"/>
      <c r="M172"/>
      <c r="N172"/>
    </row>
    <row r="173" spans="1:14" x14ac:dyDescent="0.2">
      <c r="A173" s="578"/>
      <c r="B173" s="579"/>
      <c r="C173" s="527"/>
      <c r="D173" s="527"/>
      <c r="E173" s="527"/>
      <c r="F173" s="527"/>
      <c r="G173" s="528"/>
      <c r="H173" s="569" t="s">
        <v>500</v>
      </c>
      <c r="I173" s="506"/>
      <c r="J173"/>
      <c r="K173"/>
      <c r="L173"/>
      <c r="M173"/>
      <c r="N173"/>
    </row>
    <row r="174" spans="1:14" x14ac:dyDescent="0.2">
      <c r="A174"/>
      <c r="B174"/>
      <c r="C174"/>
      <c r="D174"/>
      <c r="E174"/>
      <c r="F174"/>
      <c r="G174"/>
      <c r="H174"/>
      <c r="I174"/>
      <c r="J174"/>
      <c r="K174"/>
      <c r="L174"/>
      <c r="M174"/>
      <c r="N174"/>
    </row>
    <row r="175" spans="1:14" ht="13.5" thickBot="1" x14ac:dyDescent="0.25">
      <c r="A175"/>
      <c r="B175"/>
      <c r="C175"/>
      <c r="D175"/>
      <c r="E175"/>
      <c r="F175"/>
      <c r="G175" s="640" t="s">
        <v>502</v>
      </c>
      <c r="H175" s="556" t="str">
        <f>IFERROR(INDEX(B$1:B$100,MATCH(G175,I$1:I$100,0)),"")</f>
        <v>Daniil Alekankin</v>
      </c>
      <c r="I175" s="571"/>
      <c r="J175"/>
      <c r="K175"/>
      <c r="L175"/>
      <c r="M175"/>
      <c r="N175"/>
    </row>
    <row r="176" spans="1:14" x14ac:dyDescent="0.2">
      <c r="A176"/>
      <c r="B176"/>
      <c r="C176"/>
      <c r="D176"/>
      <c r="E176"/>
      <c r="F176"/>
      <c r="G176"/>
      <c r="H176" s="569" t="s">
        <v>501</v>
      </c>
      <c r="I176" s="506"/>
      <c r="J176"/>
      <c r="K176"/>
      <c r="L176"/>
      <c r="M176"/>
      <c r="N176"/>
    </row>
    <row r="177" spans="1:14" hidden="1" x14ac:dyDescent="0.2">
      <c r="A177"/>
      <c r="B177"/>
      <c r="C177"/>
      <c r="D177"/>
      <c r="E177"/>
      <c r="F177"/>
      <c r="G177"/>
      <c r="H177"/>
      <c r="I177"/>
      <c r="J177"/>
      <c r="K177"/>
      <c r="L177"/>
      <c r="M177"/>
      <c r="N177"/>
    </row>
    <row r="178" spans="1:14" hidden="1" x14ac:dyDescent="0.2">
      <c r="A178"/>
      <c r="B178"/>
      <c r="C178"/>
      <c r="D178"/>
      <c r="E178"/>
      <c r="F178"/>
      <c r="G178"/>
      <c r="H178"/>
      <c r="I178"/>
      <c r="J178"/>
      <c r="K178"/>
      <c r="L178"/>
      <c r="M178"/>
      <c r="N178"/>
    </row>
    <row r="179" spans="1:14" hidden="1" x14ac:dyDescent="0.2">
      <c r="A179"/>
      <c r="B179"/>
      <c r="C179"/>
      <c r="D179"/>
      <c r="E179"/>
      <c r="F179"/>
      <c r="G179"/>
      <c r="H179"/>
      <c r="I179"/>
      <c r="J179"/>
      <c r="K179"/>
      <c r="L179"/>
      <c r="M179"/>
      <c r="N179"/>
    </row>
    <row r="180" spans="1:14" hidden="1" x14ac:dyDescent="0.2">
      <c r="A180"/>
      <c r="B180"/>
      <c r="C180"/>
      <c r="D180"/>
      <c r="E180"/>
      <c r="F180"/>
      <c r="G180"/>
      <c r="H180"/>
      <c r="I180"/>
      <c r="J180"/>
      <c r="K180"/>
      <c r="L180"/>
      <c r="M180"/>
      <c r="N180"/>
    </row>
    <row r="181" spans="1:14" hidden="1" x14ac:dyDescent="0.2">
      <c r="A181"/>
      <c r="B181"/>
      <c r="C181"/>
      <c r="D181"/>
      <c r="E181"/>
      <c r="F181"/>
      <c r="G181"/>
      <c r="H181"/>
      <c r="I181"/>
      <c r="J181"/>
      <c r="K181"/>
      <c r="L181"/>
      <c r="M181"/>
      <c r="N181"/>
    </row>
    <row r="182" spans="1:14" hidden="1" x14ac:dyDescent="0.2">
      <c r="A182"/>
      <c r="B182"/>
      <c r="C182"/>
      <c r="D182"/>
      <c r="E182"/>
      <c r="F182"/>
      <c r="G182"/>
      <c r="H182"/>
      <c r="I182"/>
      <c r="J182"/>
      <c r="K182"/>
      <c r="L182"/>
      <c r="M182"/>
      <c r="N182"/>
    </row>
    <row r="183" spans="1:14" hidden="1" x14ac:dyDescent="0.2">
      <c r="A183"/>
      <c r="B183"/>
      <c r="C183"/>
      <c r="D183"/>
      <c r="E183"/>
      <c r="F183"/>
      <c r="G183"/>
      <c r="H183"/>
      <c r="I183"/>
      <c r="J183"/>
      <c r="K183"/>
      <c r="L183"/>
      <c r="M183"/>
      <c r="N183"/>
    </row>
    <row r="184" spans="1:14" hidden="1" x14ac:dyDescent="0.2">
      <c r="A184"/>
      <c r="B184"/>
      <c r="C184"/>
      <c r="D184"/>
      <c r="E184"/>
      <c r="F184"/>
      <c r="G184"/>
      <c r="H184"/>
      <c r="I184"/>
      <c r="J184"/>
      <c r="K184"/>
      <c r="L184"/>
      <c r="M184"/>
      <c r="N184"/>
    </row>
    <row r="185" spans="1:14" hidden="1" x14ac:dyDescent="0.2">
      <c r="A185"/>
      <c r="B185"/>
      <c r="C185"/>
      <c r="D185"/>
      <c r="E185"/>
      <c r="F185"/>
      <c r="G185"/>
      <c r="H185"/>
      <c r="I185"/>
      <c r="J185"/>
      <c r="K185"/>
      <c r="L185"/>
      <c r="M185"/>
      <c r="N185"/>
    </row>
    <row r="186" spans="1:14" hidden="1" x14ac:dyDescent="0.2">
      <c r="A186"/>
      <c r="B186"/>
      <c r="C186"/>
      <c r="D186"/>
      <c r="E186"/>
      <c r="F186"/>
      <c r="G186"/>
      <c r="H186"/>
      <c r="I186"/>
      <c r="J186"/>
      <c r="K186"/>
      <c r="L186"/>
      <c r="M186"/>
      <c r="N186"/>
    </row>
    <row r="187" spans="1:14" hidden="1" x14ac:dyDescent="0.2">
      <c r="A187"/>
      <c r="B187"/>
      <c r="C187"/>
      <c r="D187"/>
      <c r="E187"/>
      <c r="F187"/>
      <c r="G187"/>
      <c r="H187"/>
      <c r="I187"/>
      <c r="J187"/>
      <c r="K187"/>
      <c r="L187"/>
      <c r="M187"/>
      <c r="N187"/>
    </row>
    <row r="188" spans="1:14" hidden="1" x14ac:dyDescent="0.2">
      <c r="A188"/>
      <c r="B188"/>
      <c r="C188"/>
      <c r="D188"/>
      <c r="E188"/>
      <c r="F188"/>
      <c r="G188"/>
      <c r="H188"/>
      <c r="I188"/>
      <c r="J188"/>
      <c r="K188"/>
      <c r="L188"/>
      <c r="M188"/>
      <c r="N188"/>
    </row>
    <row r="189" spans="1:14" hidden="1" x14ac:dyDescent="0.2">
      <c r="A189"/>
      <c r="B189"/>
      <c r="C189"/>
      <c r="D189"/>
      <c r="E189"/>
      <c r="F189"/>
      <c r="G189"/>
      <c r="H189"/>
      <c r="I189"/>
      <c r="J189"/>
      <c r="K189"/>
      <c r="L189"/>
      <c r="M189"/>
      <c r="N189"/>
    </row>
    <row r="190" spans="1:14" hidden="1" x14ac:dyDescent="0.2">
      <c r="A190"/>
      <c r="B190"/>
      <c r="C190"/>
      <c r="D190"/>
      <c r="E190"/>
      <c r="F190"/>
      <c r="G190"/>
      <c r="H190"/>
      <c r="I190"/>
      <c r="J190"/>
      <c r="K190"/>
      <c r="L190"/>
      <c r="M190"/>
      <c r="N190"/>
    </row>
    <row r="191" spans="1:14" hidden="1" x14ac:dyDescent="0.2">
      <c r="A191"/>
      <c r="B191"/>
      <c r="C191"/>
      <c r="D191"/>
      <c r="E191"/>
      <c r="F191"/>
      <c r="G191"/>
      <c r="H191"/>
      <c r="I191"/>
      <c r="J191"/>
      <c r="K191"/>
      <c r="L191"/>
      <c r="M191"/>
      <c r="N191"/>
    </row>
    <row r="192" spans="1:14" hidden="1" x14ac:dyDescent="0.2">
      <c r="A192"/>
      <c r="B192"/>
      <c r="C192"/>
      <c r="D192"/>
      <c r="E192"/>
      <c r="F192"/>
      <c r="G192"/>
      <c r="H192"/>
      <c r="I192"/>
      <c r="J192"/>
      <c r="K192"/>
      <c r="L192"/>
      <c r="M192"/>
      <c r="N192"/>
    </row>
    <row r="193" spans="1:14" hidden="1" x14ac:dyDescent="0.2">
      <c r="A193"/>
      <c r="B193"/>
      <c r="C193"/>
      <c r="D193"/>
      <c r="E193"/>
      <c r="F193"/>
      <c r="G193"/>
      <c r="H193"/>
      <c r="I193"/>
      <c r="J193"/>
      <c r="K193"/>
      <c r="L193"/>
      <c r="M193"/>
      <c r="N193"/>
    </row>
    <row r="194" spans="1:14" hidden="1" x14ac:dyDescent="0.2">
      <c r="A194"/>
      <c r="B194"/>
      <c r="C194"/>
      <c r="D194"/>
      <c r="E194"/>
      <c r="F194"/>
      <c r="G194"/>
      <c r="H194"/>
      <c r="I194"/>
      <c r="J194"/>
      <c r="K194"/>
      <c r="L194"/>
      <c r="M194"/>
      <c r="N194"/>
    </row>
    <row r="195" spans="1:14" hidden="1" x14ac:dyDescent="0.2">
      <c r="A195"/>
      <c r="B195"/>
      <c r="C195"/>
      <c r="D195"/>
      <c r="E195"/>
      <c r="F195"/>
      <c r="G195"/>
      <c r="H195"/>
      <c r="I195"/>
      <c r="J195"/>
      <c r="K195"/>
      <c r="L195"/>
      <c r="M195"/>
      <c r="N195"/>
    </row>
    <row r="196" spans="1:14" hidden="1" x14ac:dyDescent="0.2">
      <c r="A196"/>
      <c r="B196"/>
      <c r="C196"/>
      <c r="D196"/>
      <c r="E196"/>
      <c r="F196"/>
      <c r="G196"/>
      <c r="H196"/>
      <c r="I196"/>
      <c r="J196"/>
      <c r="K196"/>
      <c r="L196"/>
      <c r="M196"/>
      <c r="N196"/>
    </row>
    <row r="197" spans="1:14" hidden="1" x14ac:dyDescent="0.2">
      <c r="A197"/>
      <c r="B197"/>
      <c r="C197"/>
      <c r="D197"/>
      <c r="E197"/>
      <c r="F197"/>
      <c r="G197"/>
      <c r="H197"/>
      <c r="I197"/>
      <c r="J197"/>
      <c r="K197"/>
      <c r="L197"/>
      <c r="M197"/>
      <c r="N197"/>
    </row>
    <row r="198" spans="1:14" hidden="1" x14ac:dyDescent="0.2">
      <c r="A198"/>
      <c r="B198"/>
      <c r="C198"/>
      <c r="D198"/>
      <c r="E198"/>
      <c r="F198"/>
      <c r="G198"/>
      <c r="H198"/>
      <c r="I198"/>
      <c r="J198"/>
      <c r="K198"/>
      <c r="L198"/>
      <c r="M198"/>
      <c r="N198"/>
    </row>
    <row r="199" spans="1:14" hidden="1" x14ac:dyDescent="0.2">
      <c r="A199"/>
      <c r="B199"/>
      <c r="C199"/>
      <c r="D199"/>
      <c r="E199"/>
      <c r="F199"/>
      <c r="G199"/>
      <c r="H199"/>
      <c r="I199"/>
      <c r="J199"/>
      <c r="K199"/>
      <c r="L199"/>
      <c r="M199"/>
      <c r="N199"/>
    </row>
    <row r="200" spans="1:14" hidden="1" x14ac:dyDescent="0.2">
      <c r="A200"/>
      <c r="B200"/>
      <c r="C200"/>
      <c r="D200"/>
      <c r="E200"/>
      <c r="F200"/>
      <c r="G200"/>
      <c r="H200"/>
      <c r="I200"/>
      <c r="J200"/>
      <c r="K200"/>
      <c r="L200"/>
      <c r="M200"/>
      <c r="N200"/>
    </row>
    <row r="201" spans="1:14" hidden="1" x14ac:dyDescent="0.2">
      <c r="A201"/>
      <c r="B201"/>
      <c r="C201"/>
      <c r="D201"/>
      <c r="E201"/>
      <c r="F201"/>
      <c r="G201"/>
      <c r="H201"/>
      <c r="I201"/>
      <c r="J201"/>
      <c r="K201"/>
      <c r="L201"/>
      <c r="M201"/>
      <c r="N201"/>
    </row>
    <row r="202" spans="1:14" hidden="1" x14ac:dyDescent="0.2">
      <c r="A202"/>
      <c r="B202"/>
      <c r="C202"/>
      <c r="D202"/>
      <c r="E202"/>
      <c r="F202"/>
      <c r="G202"/>
      <c r="H202"/>
      <c r="I202"/>
      <c r="J202"/>
      <c r="K202"/>
      <c r="L202"/>
      <c r="M202"/>
      <c r="N202"/>
    </row>
    <row r="203" spans="1:14" hidden="1" x14ac:dyDescent="0.2">
      <c r="A203"/>
      <c r="B203"/>
      <c r="C203"/>
      <c r="D203"/>
      <c r="E203"/>
      <c r="F203"/>
      <c r="G203"/>
      <c r="H203"/>
      <c r="I203"/>
      <c r="J203"/>
      <c r="K203"/>
      <c r="L203"/>
      <c r="M203"/>
      <c r="N203"/>
    </row>
    <row r="204" spans="1:14" hidden="1" x14ac:dyDescent="0.2">
      <c r="A204"/>
      <c r="B204"/>
      <c r="C204"/>
      <c r="D204"/>
      <c r="E204"/>
      <c r="F204"/>
      <c r="G204"/>
      <c r="H204"/>
      <c r="I204"/>
      <c r="J204"/>
      <c r="K204"/>
      <c r="L204"/>
      <c r="M204"/>
      <c r="N204"/>
    </row>
    <row r="205" spans="1:14" hidden="1" x14ac:dyDescent="0.2">
      <c r="A205"/>
      <c r="B205"/>
      <c r="C205"/>
      <c r="D205"/>
      <c r="E205"/>
      <c r="F205"/>
      <c r="G205"/>
      <c r="H205"/>
      <c r="I205"/>
      <c r="J205"/>
      <c r="K205"/>
      <c r="L205"/>
      <c r="M205"/>
      <c r="N205"/>
    </row>
    <row r="206" spans="1:14" hidden="1" x14ac:dyDescent="0.2">
      <c r="A206"/>
      <c r="B206"/>
      <c r="C206"/>
      <c r="D206"/>
      <c r="E206"/>
      <c r="F206"/>
      <c r="G206"/>
      <c r="H206"/>
      <c r="I206"/>
      <c r="J206"/>
      <c r="K206"/>
      <c r="L206"/>
      <c r="M206"/>
      <c r="N206"/>
    </row>
    <row r="207" spans="1:14" hidden="1" x14ac:dyDescent="0.2">
      <c r="A207"/>
      <c r="B207"/>
      <c r="C207"/>
      <c r="D207"/>
      <c r="E207"/>
      <c r="F207"/>
      <c r="G207"/>
      <c r="H207"/>
      <c r="I207"/>
      <c r="J207"/>
      <c r="K207"/>
      <c r="L207"/>
      <c r="M207"/>
      <c r="N207"/>
    </row>
    <row r="208" spans="1:14" hidden="1" x14ac:dyDescent="0.2">
      <c r="A208"/>
      <c r="B208"/>
      <c r="C208"/>
      <c r="D208"/>
      <c r="E208"/>
      <c r="F208"/>
      <c r="G208"/>
      <c r="H208"/>
      <c r="I208"/>
      <c r="J208"/>
      <c r="K208"/>
      <c r="L208"/>
      <c r="M208"/>
      <c r="N208"/>
    </row>
    <row r="209" spans="1:14" hidden="1" x14ac:dyDescent="0.2">
      <c r="A209"/>
      <c r="B209"/>
      <c r="C209"/>
      <c r="D209"/>
      <c r="E209"/>
      <c r="F209"/>
      <c r="G209"/>
      <c r="H209"/>
      <c r="I209"/>
      <c r="J209"/>
      <c r="K209"/>
      <c r="L209"/>
      <c r="M209"/>
      <c r="N209"/>
    </row>
    <row r="210" spans="1:14" hidden="1" x14ac:dyDescent="0.2">
      <c r="A210"/>
      <c r="B210"/>
      <c r="C210"/>
      <c r="D210"/>
      <c r="E210"/>
      <c r="F210"/>
      <c r="G210"/>
      <c r="H210"/>
      <c r="I210"/>
      <c r="J210"/>
      <c r="K210"/>
      <c r="L210"/>
      <c r="M210"/>
      <c r="N210"/>
    </row>
    <row r="211" spans="1:14" hidden="1" x14ac:dyDescent="0.2">
      <c r="A211"/>
      <c r="B211"/>
      <c r="C211"/>
      <c r="D211"/>
      <c r="E211"/>
      <c r="F211"/>
      <c r="G211"/>
      <c r="H211"/>
      <c r="I211"/>
      <c r="J211"/>
      <c r="K211"/>
      <c r="L211"/>
      <c r="M211"/>
      <c r="N211"/>
    </row>
    <row r="212" spans="1:14" hidden="1" x14ac:dyDescent="0.2">
      <c r="A212"/>
      <c r="B212"/>
      <c r="C212"/>
      <c r="D212"/>
      <c r="E212"/>
      <c r="F212"/>
      <c r="G212"/>
      <c r="H212"/>
      <c r="I212"/>
      <c r="J212"/>
      <c r="K212"/>
      <c r="L212"/>
      <c r="M212"/>
      <c r="N212"/>
    </row>
    <row r="213" spans="1:14" hidden="1" x14ac:dyDescent="0.2">
      <c r="A213"/>
      <c r="B213"/>
      <c r="C213"/>
      <c r="D213"/>
      <c r="E213"/>
      <c r="F213"/>
      <c r="G213"/>
      <c r="H213"/>
      <c r="I213"/>
      <c r="J213"/>
      <c r="K213"/>
      <c r="L213"/>
      <c r="M213"/>
      <c r="N213"/>
    </row>
    <row r="214" spans="1:14" hidden="1" x14ac:dyDescent="0.2">
      <c r="A214"/>
      <c r="B214"/>
      <c r="C214"/>
      <c r="D214"/>
      <c r="E214"/>
      <c r="F214"/>
      <c r="G214"/>
      <c r="H214"/>
      <c r="I214"/>
      <c r="J214"/>
      <c r="K214"/>
      <c r="L214"/>
      <c r="M214"/>
      <c r="N214"/>
    </row>
    <row r="215" spans="1:14" hidden="1" x14ac:dyDescent="0.2">
      <c r="A215"/>
      <c r="B215"/>
      <c r="C215"/>
      <c r="D215"/>
      <c r="E215"/>
      <c r="F215"/>
      <c r="G215"/>
      <c r="H215"/>
      <c r="I215"/>
      <c r="J215"/>
      <c r="K215"/>
      <c r="L215"/>
      <c r="M215"/>
      <c r="N215"/>
    </row>
    <row r="216" spans="1:14" hidden="1" x14ac:dyDescent="0.2">
      <c r="A216"/>
      <c r="B216"/>
      <c r="C216"/>
      <c r="D216"/>
      <c r="E216"/>
      <c r="F216"/>
      <c r="G216"/>
      <c r="H216"/>
      <c r="I216"/>
      <c r="J216"/>
      <c r="K216"/>
      <c r="L216"/>
      <c r="M216"/>
      <c r="N216"/>
    </row>
    <row r="217" spans="1:14" hidden="1" x14ac:dyDescent="0.2">
      <c r="A217"/>
      <c r="B217"/>
      <c r="C217"/>
      <c r="D217"/>
      <c r="E217"/>
      <c r="F217"/>
      <c r="G217"/>
      <c r="H217"/>
      <c r="I217"/>
      <c r="J217"/>
      <c r="K217"/>
      <c r="L217"/>
      <c r="M217"/>
      <c r="N217"/>
    </row>
    <row r="218" spans="1:14" hidden="1" x14ac:dyDescent="0.2">
      <c r="A218"/>
      <c r="B218"/>
      <c r="C218"/>
      <c r="D218"/>
      <c r="E218"/>
      <c r="F218"/>
      <c r="G218"/>
      <c r="H218"/>
      <c r="I218"/>
      <c r="J218"/>
      <c r="K218"/>
      <c r="L218"/>
      <c r="M218"/>
      <c r="N218"/>
    </row>
    <row r="219" spans="1:14" hidden="1" x14ac:dyDescent="0.2">
      <c r="A219"/>
      <c r="B219"/>
      <c r="C219"/>
      <c r="D219"/>
      <c r="E219"/>
      <c r="F219"/>
      <c r="G219"/>
      <c r="H219"/>
      <c r="I219"/>
      <c r="J219"/>
      <c r="K219"/>
      <c r="L219"/>
      <c r="M219"/>
      <c r="N219"/>
    </row>
    <row r="220" spans="1:14" hidden="1" x14ac:dyDescent="0.2">
      <c r="A220"/>
      <c r="B220"/>
      <c r="C220"/>
      <c r="D220"/>
      <c r="E220"/>
      <c r="F220"/>
      <c r="G220"/>
      <c r="H220"/>
      <c r="I220"/>
      <c r="J220"/>
      <c r="K220"/>
      <c r="L220"/>
      <c r="M220"/>
      <c r="N220"/>
    </row>
    <row r="221" spans="1:14" hidden="1" x14ac:dyDescent="0.2">
      <c r="A221"/>
      <c r="B221"/>
      <c r="C221"/>
      <c r="D221"/>
      <c r="E221"/>
      <c r="F221"/>
      <c r="G221"/>
      <c r="H221"/>
      <c r="I221"/>
      <c r="J221"/>
      <c r="K221"/>
      <c r="L221"/>
      <c r="M221"/>
      <c r="N221"/>
    </row>
    <row r="222" spans="1:14" hidden="1" x14ac:dyDescent="0.2">
      <c r="A222"/>
      <c r="B222"/>
      <c r="C222"/>
      <c r="D222"/>
      <c r="E222"/>
      <c r="F222"/>
      <c r="G222"/>
      <c r="H222"/>
      <c r="I222"/>
      <c r="J222"/>
      <c r="K222"/>
      <c r="L222"/>
      <c r="M222"/>
      <c r="N222"/>
    </row>
    <row r="223" spans="1:14" hidden="1" x14ac:dyDescent="0.2">
      <c r="A223"/>
      <c r="B223"/>
      <c r="C223"/>
      <c r="D223"/>
      <c r="E223"/>
      <c r="F223"/>
      <c r="G223"/>
      <c r="H223"/>
      <c r="I223"/>
      <c r="J223"/>
      <c r="K223"/>
      <c r="L223"/>
      <c r="M223"/>
      <c r="N223"/>
    </row>
    <row r="224" spans="1:14" hidden="1" x14ac:dyDescent="0.2">
      <c r="A224"/>
      <c r="B224"/>
      <c r="C224"/>
      <c r="D224"/>
      <c r="E224"/>
      <c r="F224"/>
      <c r="G224"/>
      <c r="H224"/>
      <c r="I224"/>
      <c r="J224"/>
      <c r="K224"/>
      <c r="L224"/>
      <c r="M224"/>
      <c r="N224"/>
    </row>
    <row r="225" spans="1:14" hidden="1" x14ac:dyDescent="0.2">
      <c r="A225"/>
      <c r="B225"/>
      <c r="C225"/>
      <c r="D225"/>
      <c r="E225"/>
      <c r="F225"/>
      <c r="G225"/>
      <c r="H225"/>
      <c r="I225"/>
      <c r="J225"/>
      <c r="K225"/>
      <c r="L225"/>
      <c r="M225"/>
      <c r="N225"/>
    </row>
    <row r="226" spans="1:14" hidden="1" x14ac:dyDescent="0.2">
      <c r="A226"/>
      <c r="B226"/>
      <c r="C226"/>
      <c r="D226"/>
      <c r="E226"/>
      <c r="F226"/>
      <c r="G226"/>
      <c r="H226"/>
      <c r="I226"/>
      <c r="J226"/>
      <c r="K226"/>
      <c r="L226"/>
      <c r="M226"/>
      <c r="N226"/>
    </row>
    <row r="227" spans="1:14" hidden="1" x14ac:dyDescent="0.2">
      <c r="A227"/>
      <c r="B227"/>
      <c r="C227"/>
      <c r="D227"/>
      <c r="E227"/>
      <c r="F227"/>
      <c r="G227"/>
      <c r="H227"/>
      <c r="I227"/>
      <c r="J227"/>
      <c r="K227"/>
      <c r="L227"/>
      <c r="M227"/>
      <c r="N227"/>
    </row>
    <row r="228" spans="1:14" hidden="1" x14ac:dyDescent="0.2">
      <c r="A228"/>
      <c r="B228"/>
      <c r="C228"/>
      <c r="D228"/>
      <c r="E228"/>
      <c r="F228"/>
      <c r="G228"/>
      <c r="H228"/>
      <c r="I228"/>
      <c r="J228"/>
      <c r="K228"/>
      <c r="L228"/>
      <c r="M228"/>
      <c r="N228"/>
    </row>
    <row r="229" spans="1:14" hidden="1" x14ac:dyDescent="0.2">
      <c r="A229"/>
      <c r="B229"/>
      <c r="C229"/>
      <c r="D229"/>
      <c r="E229"/>
      <c r="F229"/>
      <c r="G229"/>
      <c r="H229"/>
      <c r="I229"/>
      <c r="J229"/>
      <c r="K229"/>
      <c r="L229"/>
      <c r="M229"/>
      <c r="N229"/>
    </row>
    <row r="230" spans="1:14" hidden="1" x14ac:dyDescent="0.2">
      <c r="A230"/>
      <c r="B230"/>
      <c r="C230"/>
      <c r="D230"/>
      <c r="E230"/>
      <c r="F230"/>
      <c r="G230"/>
      <c r="H230"/>
      <c r="I230"/>
      <c r="J230"/>
      <c r="K230"/>
      <c r="L230"/>
      <c r="M230"/>
      <c r="N230"/>
    </row>
    <row r="231" spans="1:14" hidden="1" x14ac:dyDescent="0.2">
      <c r="A231"/>
      <c r="B231"/>
      <c r="C231"/>
      <c r="D231"/>
      <c r="E231"/>
      <c r="F231"/>
      <c r="G231"/>
      <c r="H231"/>
      <c r="I231"/>
      <c r="J231"/>
      <c r="K231"/>
      <c r="L231"/>
      <c r="M231"/>
      <c r="N231"/>
    </row>
    <row r="232" spans="1:14" hidden="1" x14ac:dyDescent="0.2">
      <c r="A232"/>
      <c r="B232"/>
      <c r="C232"/>
      <c r="D232"/>
      <c r="E232"/>
      <c r="F232"/>
      <c r="G232"/>
      <c r="H232"/>
      <c r="I232"/>
      <c r="J232"/>
      <c r="K232"/>
      <c r="L232"/>
      <c r="M232"/>
      <c r="N232"/>
    </row>
    <row r="233" spans="1:14" hidden="1" x14ac:dyDescent="0.2">
      <c r="A233"/>
      <c r="B233"/>
      <c r="C233"/>
      <c r="D233"/>
      <c r="E233"/>
      <c r="F233"/>
      <c r="G233"/>
      <c r="H233"/>
      <c r="I233"/>
      <c r="J233"/>
      <c r="K233"/>
      <c r="L233"/>
      <c r="M233"/>
      <c r="N233"/>
    </row>
    <row r="234" spans="1:14" hidden="1" x14ac:dyDescent="0.2">
      <c r="A234"/>
      <c r="B234"/>
      <c r="C234"/>
      <c r="D234"/>
      <c r="E234"/>
      <c r="F234"/>
      <c r="G234"/>
      <c r="H234"/>
      <c r="I234"/>
      <c r="J234"/>
      <c r="K234"/>
      <c r="L234"/>
      <c r="M234"/>
      <c r="N234"/>
    </row>
    <row r="235" spans="1:14" hidden="1" x14ac:dyDescent="0.2">
      <c r="A235"/>
      <c r="B235"/>
      <c r="C235"/>
      <c r="D235"/>
      <c r="E235"/>
      <c r="F235"/>
      <c r="G235"/>
      <c r="H235"/>
      <c r="I235"/>
      <c r="J235"/>
      <c r="K235"/>
      <c r="L235"/>
      <c r="M235"/>
      <c r="N235"/>
    </row>
    <row r="236" spans="1:14" hidden="1" x14ac:dyDescent="0.2">
      <c r="A236"/>
      <c r="B236"/>
      <c r="C236"/>
      <c r="D236"/>
      <c r="E236"/>
      <c r="F236"/>
      <c r="G236"/>
      <c r="H236"/>
      <c r="I236"/>
      <c r="J236"/>
      <c r="K236"/>
      <c r="L236"/>
      <c r="M236"/>
      <c r="N236"/>
    </row>
    <row r="237" spans="1:14" hidden="1" x14ac:dyDescent="0.2">
      <c r="A237"/>
      <c r="B237"/>
      <c r="C237"/>
      <c r="D237"/>
      <c r="E237"/>
      <c r="F237"/>
      <c r="G237"/>
      <c r="H237"/>
      <c r="I237"/>
      <c r="J237"/>
      <c r="K237"/>
      <c r="L237"/>
      <c r="M237"/>
      <c r="N237"/>
    </row>
    <row r="238" spans="1:14" hidden="1" x14ac:dyDescent="0.2">
      <c r="A238"/>
      <c r="B238"/>
      <c r="C238"/>
      <c r="D238"/>
      <c r="E238"/>
      <c r="F238"/>
      <c r="G238"/>
      <c r="H238"/>
      <c r="I238"/>
      <c r="J238"/>
      <c r="K238"/>
      <c r="L238"/>
      <c r="M238"/>
      <c r="N238"/>
    </row>
    <row r="239" spans="1:14" hidden="1" x14ac:dyDescent="0.2">
      <c r="A239"/>
      <c r="B239"/>
      <c r="C239"/>
      <c r="D239"/>
      <c r="E239"/>
      <c r="F239"/>
      <c r="G239"/>
      <c r="H239"/>
      <c r="I239"/>
      <c r="J239"/>
      <c r="K239"/>
      <c r="L239"/>
      <c r="M239"/>
      <c r="N239"/>
    </row>
    <row r="240" spans="1:14" hidden="1" x14ac:dyDescent="0.2">
      <c r="A240"/>
      <c r="B240"/>
      <c r="C240"/>
      <c r="D240"/>
      <c r="E240"/>
      <c r="F240"/>
      <c r="G240"/>
      <c r="H240"/>
      <c r="I240"/>
      <c r="J240"/>
      <c r="K240"/>
      <c r="L240"/>
      <c r="M240"/>
      <c r="N240"/>
    </row>
    <row r="241" spans="1:14" hidden="1" x14ac:dyDescent="0.2">
      <c r="A241"/>
      <c r="B241"/>
      <c r="C241"/>
      <c r="D241"/>
      <c r="E241"/>
      <c r="F241"/>
      <c r="G241"/>
      <c r="H241"/>
      <c r="I241"/>
      <c r="J241"/>
      <c r="K241"/>
      <c r="L241"/>
      <c r="M241"/>
      <c r="N241"/>
    </row>
    <row r="242" spans="1:14" hidden="1" x14ac:dyDescent="0.2">
      <c r="A242"/>
      <c r="B242"/>
      <c r="C242"/>
      <c r="D242"/>
      <c r="E242"/>
      <c r="F242"/>
      <c r="G242"/>
      <c r="H242"/>
      <c r="I242"/>
      <c r="J242"/>
      <c r="K242"/>
      <c r="L242"/>
      <c r="M242"/>
      <c r="N242"/>
    </row>
    <row r="243" spans="1:14" hidden="1" x14ac:dyDescent="0.2">
      <c r="A243"/>
      <c r="B243"/>
      <c r="C243"/>
      <c r="D243"/>
      <c r="E243"/>
      <c r="F243"/>
      <c r="G243"/>
      <c r="H243"/>
      <c r="I243"/>
      <c r="J243"/>
      <c r="K243"/>
      <c r="L243"/>
      <c r="M243"/>
      <c r="N243"/>
    </row>
    <row r="244" spans="1:14" hidden="1" x14ac:dyDescent="0.2">
      <c r="A244"/>
      <c r="B244"/>
      <c r="C244"/>
      <c r="D244"/>
      <c r="E244"/>
      <c r="F244"/>
      <c r="G244"/>
      <c r="H244"/>
      <c r="I244"/>
      <c r="J244"/>
      <c r="K244"/>
      <c r="L244"/>
      <c r="M244"/>
      <c r="N244"/>
    </row>
    <row r="245" spans="1:14" hidden="1" x14ac:dyDescent="0.2">
      <c r="A245"/>
      <c r="B245"/>
      <c r="C245"/>
      <c r="D245"/>
      <c r="E245"/>
      <c r="F245"/>
      <c r="G245"/>
      <c r="H245"/>
      <c r="I245"/>
      <c r="J245"/>
      <c r="K245"/>
      <c r="L245"/>
      <c r="M245"/>
      <c r="N245"/>
    </row>
    <row r="246" spans="1:14" hidden="1" x14ac:dyDescent="0.2">
      <c r="A246"/>
      <c r="B246"/>
      <c r="C246"/>
      <c r="D246"/>
      <c r="E246"/>
      <c r="F246"/>
      <c r="G246"/>
      <c r="H246"/>
      <c r="I246"/>
      <c r="J246"/>
      <c r="K246"/>
      <c r="L246"/>
      <c r="M246"/>
      <c r="N246"/>
    </row>
    <row r="247" spans="1:14" hidden="1" x14ac:dyDescent="0.2">
      <c r="A247"/>
      <c r="B247"/>
      <c r="C247"/>
      <c r="D247"/>
      <c r="E247"/>
      <c r="F247"/>
      <c r="G247"/>
      <c r="H247"/>
      <c r="I247"/>
      <c r="J247"/>
      <c r="K247"/>
      <c r="L247"/>
      <c r="M247"/>
      <c r="N247"/>
    </row>
    <row r="248" spans="1:14" hidden="1" x14ac:dyDescent="0.2">
      <c r="A248"/>
      <c r="B248"/>
      <c r="C248"/>
      <c r="D248"/>
      <c r="E248"/>
      <c r="F248"/>
      <c r="G248"/>
      <c r="H248"/>
      <c r="I248"/>
      <c r="J248"/>
      <c r="K248"/>
      <c r="L248"/>
      <c r="M248"/>
      <c r="N248"/>
    </row>
    <row r="249" spans="1:14" hidden="1" x14ac:dyDescent="0.2">
      <c r="A249"/>
      <c r="B249"/>
      <c r="C249"/>
      <c r="D249"/>
      <c r="E249"/>
      <c r="F249"/>
      <c r="G249"/>
      <c r="H249"/>
      <c r="I249"/>
      <c r="J249"/>
      <c r="K249"/>
      <c r="L249"/>
      <c r="M249"/>
      <c r="N249"/>
    </row>
    <row r="250" spans="1:14" hidden="1" x14ac:dyDescent="0.2">
      <c r="A250"/>
      <c r="B250"/>
      <c r="C250"/>
      <c r="D250"/>
      <c r="E250"/>
      <c r="F250"/>
      <c r="G250"/>
      <c r="H250"/>
      <c r="I250"/>
      <c r="J250"/>
      <c r="K250"/>
      <c r="L250"/>
      <c r="M250"/>
      <c r="N250"/>
    </row>
    <row r="251" spans="1:14" hidden="1" x14ac:dyDescent="0.2">
      <c r="A251"/>
      <c r="B251"/>
      <c r="C251"/>
      <c r="D251"/>
      <c r="E251"/>
      <c r="F251"/>
      <c r="G251"/>
      <c r="H251"/>
      <c r="I251"/>
      <c r="J251"/>
      <c r="K251"/>
      <c r="L251"/>
      <c r="M251"/>
      <c r="N251"/>
    </row>
    <row r="252" spans="1:14" hidden="1" x14ac:dyDescent="0.2">
      <c r="A252"/>
      <c r="B252"/>
      <c r="C252"/>
      <c r="D252"/>
      <c r="E252"/>
      <c r="F252"/>
      <c r="G252"/>
      <c r="H252"/>
      <c r="I252"/>
      <c r="J252"/>
      <c r="K252"/>
      <c r="L252"/>
      <c r="M252"/>
      <c r="N252"/>
    </row>
    <row r="253" spans="1:14" hidden="1" x14ac:dyDescent="0.2">
      <c r="A253"/>
      <c r="B253"/>
      <c r="C253"/>
      <c r="D253"/>
      <c r="E253"/>
      <c r="F253"/>
      <c r="G253"/>
      <c r="H253"/>
      <c r="I253"/>
      <c r="J253"/>
      <c r="K253"/>
      <c r="L253"/>
      <c r="M253"/>
      <c r="N253"/>
    </row>
    <row r="254" spans="1:14" hidden="1" x14ac:dyDescent="0.2">
      <c r="A254"/>
      <c r="B254"/>
      <c r="C254"/>
      <c r="D254"/>
      <c r="E254"/>
      <c r="F254"/>
      <c r="G254"/>
      <c r="H254"/>
      <c r="I254"/>
      <c r="J254"/>
      <c r="K254"/>
      <c r="L254"/>
      <c r="M254"/>
      <c r="N254"/>
    </row>
    <row r="255" spans="1:14" hidden="1" x14ac:dyDescent="0.2">
      <c r="A255"/>
      <c r="B255"/>
      <c r="C255"/>
      <c r="D255"/>
      <c r="E255"/>
      <c r="F255"/>
      <c r="G255"/>
      <c r="H255"/>
      <c r="I255"/>
      <c r="J255"/>
      <c r="K255"/>
      <c r="L255"/>
      <c r="M255"/>
      <c r="N255"/>
    </row>
    <row r="256" spans="1:14" hidden="1" x14ac:dyDescent="0.2">
      <c r="A256"/>
      <c r="B256"/>
      <c r="C256"/>
      <c r="D256"/>
      <c r="E256"/>
      <c r="F256"/>
      <c r="G256"/>
      <c r="H256"/>
      <c r="I256"/>
      <c r="J256"/>
      <c r="K256"/>
      <c r="L256"/>
      <c r="M256"/>
      <c r="N256"/>
    </row>
    <row r="257" spans="1:14" hidden="1" x14ac:dyDescent="0.2">
      <c r="A257"/>
      <c r="B257"/>
      <c r="C257"/>
      <c r="D257"/>
      <c r="E257"/>
      <c r="F257"/>
      <c r="G257"/>
      <c r="H257"/>
      <c r="I257"/>
      <c r="J257"/>
      <c r="K257"/>
      <c r="L257"/>
      <c r="M257"/>
      <c r="N257"/>
    </row>
    <row r="258" spans="1:14" hidden="1" x14ac:dyDescent="0.2">
      <c r="A258"/>
      <c r="B258"/>
      <c r="C258"/>
      <c r="D258"/>
      <c r="E258"/>
      <c r="F258"/>
      <c r="G258"/>
      <c r="H258"/>
      <c r="I258"/>
      <c r="J258"/>
      <c r="K258"/>
      <c r="L258"/>
      <c r="M258"/>
      <c r="N258"/>
    </row>
    <row r="259" spans="1:14" hidden="1" x14ac:dyDescent="0.2">
      <c r="A259"/>
      <c r="B259"/>
      <c r="C259"/>
      <c r="D259"/>
      <c r="E259"/>
      <c r="F259"/>
      <c r="G259"/>
      <c r="H259"/>
      <c r="I259"/>
      <c r="J259"/>
      <c r="K259"/>
      <c r="L259"/>
      <c r="M259"/>
      <c r="N259"/>
    </row>
    <row r="260" spans="1:14" hidden="1" x14ac:dyDescent="0.2">
      <c r="A260"/>
      <c r="B260"/>
      <c r="C260"/>
      <c r="D260"/>
      <c r="E260"/>
      <c r="F260"/>
      <c r="G260"/>
      <c r="H260"/>
      <c r="I260"/>
      <c r="J260"/>
      <c r="K260"/>
      <c r="L260"/>
      <c r="M260"/>
      <c r="N260"/>
    </row>
    <row r="261" spans="1:14" hidden="1" x14ac:dyDescent="0.2">
      <c r="A261"/>
      <c r="B261"/>
      <c r="C261"/>
      <c r="D261"/>
      <c r="E261"/>
      <c r="F261"/>
      <c r="G261"/>
      <c r="H261"/>
      <c r="I261"/>
      <c r="J261"/>
      <c r="K261"/>
      <c r="L261"/>
      <c r="M261"/>
      <c r="N261"/>
    </row>
    <row r="262" spans="1:14" hidden="1" x14ac:dyDescent="0.2">
      <c r="A262"/>
      <c r="B262"/>
      <c r="C262"/>
      <c r="D262"/>
      <c r="E262"/>
      <c r="F262"/>
      <c r="G262"/>
      <c r="H262"/>
      <c r="I262"/>
      <c r="J262"/>
      <c r="K262"/>
      <c r="L262"/>
      <c r="M262"/>
      <c r="N262"/>
    </row>
    <row r="263" spans="1:14" hidden="1" x14ac:dyDescent="0.2">
      <c r="A263"/>
      <c r="B263"/>
      <c r="C263"/>
      <c r="D263"/>
      <c r="E263"/>
      <c r="F263"/>
      <c r="G263"/>
      <c r="H263"/>
      <c r="I263"/>
      <c r="J263"/>
      <c r="K263"/>
      <c r="L263"/>
      <c r="M263"/>
      <c r="N263"/>
    </row>
    <row r="264" spans="1:14" hidden="1" x14ac:dyDescent="0.2">
      <c r="A264"/>
      <c r="B264"/>
      <c r="C264"/>
      <c r="D264"/>
      <c r="E264"/>
      <c r="F264"/>
      <c r="G264"/>
      <c r="H264"/>
      <c r="I264"/>
      <c r="J264"/>
      <c r="K264"/>
      <c r="L264"/>
      <c r="M264"/>
      <c r="N264"/>
    </row>
    <row r="265" spans="1:14" hidden="1" x14ac:dyDescent="0.2">
      <c r="A265"/>
      <c r="B265"/>
      <c r="C265"/>
      <c r="D265"/>
      <c r="E265"/>
      <c r="F265"/>
      <c r="G265"/>
      <c r="H265"/>
      <c r="I265"/>
      <c r="J265"/>
      <c r="K265"/>
      <c r="L265"/>
      <c r="M265"/>
      <c r="N265"/>
    </row>
    <row r="266" spans="1:14" hidden="1" x14ac:dyDescent="0.2">
      <c r="A266"/>
      <c r="B266"/>
      <c r="C266"/>
      <c r="D266"/>
      <c r="E266"/>
      <c r="F266"/>
      <c r="G266"/>
      <c r="H266"/>
      <c r="I266"/>
      <c r="J266"/>
      <c r="K266"/>
      <c r="L266"/>
      <c r="M266"/>
      <c r="N266"/>
    </row>
    <row r="267" spans="1:14" hidden="1" x14ac:dyDescent="0.2">
      <c r="A267"/>
      <c r="B267"/>
      <c r="C267"/>
      <c r="D267"/>
      <c r="E267"/>
      <c r="F267"/>
      <c r="G267"/>
      <c r="H267"/>
      <c r="I267"/>
      <c r="J267"/>
      <c r="K267"/>
      <c r="L267"/>
      <c r="M267"/>
      <c r="N267"/>
    </row>
    <row r="268" spans="1:14" hidden="1" x14ac:dyDescent="0.2">
      <c r="A268"/>
      <c r="B268"/>
      <c r="C268"/>
      <c r="D268"/>
      <c r="E268"/>
      <c r="F268"/>
      <c r="G268"/>
      <c r="H268"/>
      <c r="I268"/>
      <c r="J268"/>
      <c r="K268"/>
      <c r="L268"/>
      <c r="M268"/>
      <c r="N268"/>
    </row>
    <row r="269" spans="1:14" hidden="1" x14ac:dyDescent="0.2">
      <c r="A269"/>
      <c r="B269"/>
      <c r="C269"/>
      <c r="D269"/>
      <c r="E269"/>
      <c r="F269"/>
      <c r="G269"/>
      <c r="H269"/>
      <c r="I269"/>
      <c r="J269"/>
      <c r="K269"/>
      <c r="L269"/>
      <c r="M269"/>
      <c r="N269"/>
    </row>
    <row r="270" spans="1:14" hidden="1" x14ac:dyDescent="0.2">
      <c r="A270"/>
      <c r="B270"/>
      <c r="C270"/>
      <c r="D270"/>
      <c r="E270"/>
      <c r="F270"/>
      <c r="G270"/>
      <c r="H270"/>
      <c r="I270"/>
      <c r="J270"/>
      <c r="K270"/>
      <c r="L270"/>
      <c r="M270"/>
      <c r="N270"/>
    </row>
    <row r="271" spans="1:14" hidden="1" x14ac:dyDescent="0.2">
      <c r="A271"/>
      <c r="B271"/>
      <c r="C271"/>
      <c r="D271"/>
      <c r="E271"/>
      <c r="F271"/>
      <c r="G271"/>
      <c r="H271"/>
      <c r="I271"/>
      <c r="J271"/>
      <c r="K271"/>
      <c r="L271"/>
      <c r="M271"/>
      <c r="N271"/>
    </row>
    <row r="272" spans="1:14" hidden="1" x14ac:dyDescent="0.2">
      <c r="A272"/>
      <c r="B272"/>
      <c r="C272"/>
      <c r="D272"/>
      <c r="E272"/>
      <c r="F272"/>
      <c r="G272"/>
      <c r="H272"/>
      <c r="I272"/>
      <c r="J272"/>
      <c r="K272"/>
      <c r="L272"/>
      <c r="M272"/>
      <c r="N272"/>
    </row>
    <row r="273" spans="1:14" hidden="1" x14ac:dyDescent="0.2">
      <c r="A273"/>
      <c r="B273"/>
      <c r="C273"/>
      <c r="D273"/>
      <c r="E273"/>
      <c r="F273"/>
      <c r="G273"/>
      <c r="H273"/>
      <c r="I273"/>
      <c r="J273"/>
      <c r="K273"/>
      <c r="L273"/>
      <c r="M273"/>
      <c r="N273"/>
    </row>
    <row r="274" spans="1:14" hidden="1" x14ac:dyDescent="0.2">
      <c r="A274"/>
      <c r="B274"/>
      <c r="C274"/>
      <c r="D274"/>
      <c r="E274"/>
      <c r="F274"/>
      <c r="G274"/>
      <c r="H274"/>
      <c r="I274"/>
      <c r="J274"/>
      <c r="K274"/>
      <c r="L274"/>
      <c r="M274"/>
      <c r="N274"/>
    </row>
    <row r="275" spans="1:14" hidden="1" x14ac:dyDescent="0.2">
      <c r="A275"/>
      <c r="B275"/>
      <c r="C275"/>
      <c r="D275"/>
      <c r="E275"/>
      <c r="F275"/>
      <c r="G275"/>
      <c r="H275"/>
      <c r="I275"/>
      <c r="J275"/>
      <c r="K275"/>
      <c r="L275"/>
      <c r="M275"/>
      <c r="N275"/>
    </row>
    <row r="276" spans="1:14" hidden="1" x14ac:dyDescent="0.2">
      <c r="A276"/>
      <c r="B276"/>
      <c r="C276"/>
      <c r="D276"/>
      <c r="E276"/>
      <c r="F276"/>
      <c r="G276"/>
      <c r="H276"/>
      <c r="I276"/>
      <c r="J276"/>
      <c r="K276"/>
      <c r="L276"/>
      <c r="M276"/>
      <c r="N276"/>
    </row>
    <row r="277" spans="1:14" hidden="1" x14ac:dyDescent="0.2">
      <c r="A277"/>
      <c r="B277"/>
      <c r="C277"/>
      <c r="D277"/>
      <c r="E277"/>
      <c r="F277"/>
      <c r="G277"/>
      <c r="H277"/>
      <c r="I277"/>
      <c r="J277"/>
      <c r="K277"/>
      <c r="L277"/>
      <c r="M277"/>
      <c r="N277"/>
    </row>
    <row r="278" spans="1:14" hidden="1" x14ac:dyDescent="0.2">
      <c r="A278"/>
      <c r="B278"/>
      <c r="C278"/>
      <c r="D278"/>
      <c r="E278"/>
      <c r="F278"/>
      <c r="G278"/>
      <c r="H278"/>
      <c r="I278"/>
      <c r="J278"/>
      <c r="K278"/>
      <c r="L278"/>
      <c r="M278"/>
      <c r="N278"/>
    </row>
    <row r="279" spans="1:14" hidden="1" x14ac:dyDescent="0.2">
      <c r="A279"/>
      <c r="B279"/>
      <c r="C279"/>
      <c r="D279"/>
      <c r="E279"/>
      <c r="F279"/>
      <c r="G279"/>
      <c r="H279"/>
      <c r="I279"/>
      <c r="J279"/>
      <c r="K279"/>
      <c r="L279"/>
      <c r="M279"/>
      <c r="N279"/>
    </row>
    <row r="280" spans="1:14" hidden="1" x14ac:dyDescent="0.2">
      <c r="A280"/>
      <c r="B280"/>
      <c r="C280"/>
      <c r="D280"/>
      <c r="E280"/>
      <c r="F280"/>
      <c r="G280"/>
      <c r="H280"/>
      <c r="I280"/>
      <c r="J280"/>
      <c r="K280"/>
      <c r="L280"/>
      <c r="M280"/>
      <c r="N280"/>
    </row>
    <row r="281" spans="1:14" hidden="1" x14ac:dyDescent="0.2">
      <c r="A281"/>
      <c r="B281"/>
      <c r="C281"/>
      <c r="D281"/>
      <c r="E281"/>
      <c r="F281"/>
      <c r="G281"/>
      <c r="H281"/>
      <c r="I281"/>
      <c r="J281"/>
      <c r="K281"/>
      <c r="L281"/>
      <c r="M281"/>
      <c r="N281"/>
    </row>
    <row r="282" spans="1:14" hidden="1" x14ac:dyDescent="0.2">
      <c r="A282"/>
      <c r="B282"/>
      <c r="C282"/>
      <c r="D282"/>
      <c r="E282"/>
      <c r="F282"/>
      <c r="G282"/>
      <c r="H282"/>
      <c r="I282"/>
      <c r="J282"/>
      <c r="K282"/>
      <c r="L282"/>
      <c r="M282"/>
      <c r="N282"/>
    </row>
    <row r="283" spans="1:14" hidden="1" x14ac:dyDescent="0.2">
      <c r="A283"/>
      <c r="B283"/>
      <c r="C283"/>
      <c r="D283"/>
      <c r="E283"/>
      <c r="F283"/>
      <c r="G283"/>
      <c r="H283"/>
      <c r="I283"/>
      <c r="J283"/>
      <c r="K283"/>
      <c r="L283"/>
      <c r="M283"/>
      <c r="N283"/>
    </row>
    <row r="284" spans="1:14" hidden="1" x14ac:dyDescent="0.2">
      <c r="A284"/>
      <c r="B284"/>
      <c r="C284"/>
      <c r="D284"/>
      <c r="E284"/>
      <c r="F284"/>
      <c r="G284"/>
      <c r="H284"/>
      <c r="I284"/>
      <c r="J284"/>
      <c r="K284"/>
      <c r="L284"/>
      <c r="M284"/>
      <c r="N284"/>
    </row>
    <row r="285" spans="1:14" hidden="1" x14ac:dyDescent="0.2">
      <c r="A285"/>
      <c r="B285"/>
      <c r="C285"/>
      <c r="D285"/>
      <c r="E285"/>
      <c r="F285"/>
      <c r="G285"/>
      <c r="H285"/>
      <c r="I285"/>
      <c r="J285"/>
      <c r="K285"/>
      <c r="L285"/>
      <c r="M285"/>
      <c r="N285"/>
    </row>
    <row r="286" spans="1:14" hidden="1" x14ac:dyDescent="0.2">
      <c r="A286"/>
      <c r="B286"/>
      <c r="C286"/>
      <c r="D286"/>
      <c r="E286"/>
      <c r="F286"/>
      <c r="G286"/>
      <c r="H286"/>
      <c r="I286"/>
      <c r="J286"/>
      <c r="K286"/>
      <c r="L286"/>
      <c r="M286"/>
      <c r="N286"/>
    </row>
    <row r="287" spans="1:14" hidden="1" x14ac:dyDescent="0.2">
      <c r="A287"/>
      <c r="B287"/>
      <c r="C287"/>
      <c r="D287"/>
      <c r="E287"/>
      <c r="F287"/>
      <c r="G287"/>
      <c r="H287"/>
      <c r="I287"/>
      <c r="J287"/>
      <c r="K287"/>
      <c r="L287"/>
      <c r="M287"/>
      <c r="N287"/>
    </row>
    <row r="288" spans="1:14" hidden="1" x14ac:dyDescent="0.2">
      <c r="A288"/>
      <c r="B288"/>
      <c r="C288"/>
      <c r="D288"/>
      <c r="E288"/>
      <c r="F288"/>
      <c r="G288"/>
      <c r="H288"/>
      <c r="I288"/>
      <c r="J288"/>
      <c r="K288"/>
      <c r="L288"/>
      <c r="M288"/>
      <c r="N288"/>
    </row>
    <row r="289" spans="1:14" hidden="1" x14ac:dyDescent="0.2">
      <c r="A289"/>
      <c r="B289"/>
      <c r="C289"/>
      <c r="D289"/>
      <c r="E289"/>
      <c r="F289"/>
      <c r="G289"/>
      <c r="H289"/>
      <c r="I289"/>
      <c r="J289"/>
      <c r="K289"/>
      <c r="L289"/>
      <c r="M289"/>
      <c r="N289"/>
    </row>
    <row r="290" spans="1:14" hidden="1" x14ac:dyDescent="0.2">
      <c r="A290"/>
      <c r="B290"/>
      <c r="C290"/>
      <c r="D290"/>
      <c r="E290"/>
      <c r="F290"/>
      <c r="G290"/>
      <c r="H290"/>
      <c r="I290"/>
      <c r="J290"/>
      <c r="K290"/>
      <c r="L290"/>
      <c r="M290"/>
      <c r="N290"/>
    </row>
    <row r="291" spans="1:14" hidden="1" x14ac:dyDescent="0.2">
      <c r="A291"/>
      <c r="B291"/>
      <c r="C291"/>
      <c r="D291"/>
      <c r="E291"/>
      <c r="F291"/>
      <c r="G291"/>
      <c r="H291"/>
      <c r="I291"/>
      <c r="J291"/>
      <c r="K291"/>
      <c r="L291"/>
      <c r="M291"/>
      <c r="N291"/>
    </row>
    <row r="292" spans="1:14" hidden="1" x14ac:dyDescent="0.2">
      <c r="A292"/>
      <c r="B292"/>
      <c r="C292"/>
      <c r="D292"/>
      <c r="E292"/>
      <c r="F292"/>
      <c r="G292"/>
      <c r="H292"/>
      <c r="I292"/>
      <c r="J292"/>
      <c r="K292"/>
      <c r="L292"/>
      <c r="M292"/>
      <c r="N292"/>
    </row>
    <row r="293" spans="1:14" hidden="1" x14ac:dyDescent="0.2">
      <c r="A293"/>
      <c r="B293"/>
      <c r="C293"/>
      <c r="D293"/>
      <c r="E293"/>
      <c r="F293"/>
      <c r="G293"/>
      <c r="H293"/>
      <c r="I293"/>
      <c r="J293"/>
      <c r="K293"/>
      <c r="L293"/>
      <c r="M293"/>
      <c r="N293"/>
    </row>
    <row r="294" spans="1:14" hidden="1" x14ac:dyDescent="0.2">
      <c r="A294"/>
      <c r="B294"/>
      <c r="C294"/>
      <c r="D294"/>
      <c r="E294"/>
      <c r="F294"/>
      <c r="G294"/>
      <c r="H294"/>
      <c r="I294"/>
      <c r="J294"/>
      <c r="K294"/>
      <c r="L294"/>
      <c r="M294"/>
      <c r="N294"/>
    </row>
    <row r="295" spans="1:14" hidden="1" x14ac:dyDescent="0.2">
      <c r="A295"/>
      <c r="B295"/>
      <c r="C295"/>
      <c r="D295"/>
      <c r="E295"/>
      <c r="F295"/>
      <c r="G295"/>
      <c r="H295"/>
      <c r="I295"/>
      <c r="J295"/>
      <c r="K295"/>
      <c r="L295"/>
      <c r="M295"/>
      <c r="N295"/>
    </row>
    <row r="296" spans="1:14" hidden="1" x14ac:dyDescent="0.2">
      <c r="A296"/>
      <c r="B296"/>
      <c r="C296"/>
      <c r="D296"/>
      <c r="E296"/>
      <c r="F296"/>
      <c r="G296"/>
      <c r="H296"/>
      <c r="I296"/>
      <c r="J296"/>
      <c r="K296"/>
      <c r="L296"/>
      <c r="M296"/>
      <c r="N296"/>
    </row>
    <row r="297" spans="1:14" hidden="1" x14ac:dyDescent="0.2">
      <c r="A297"/>
      <c r="B297"/>
      <c r="C297"/>
      <c r="D297"/>
      <c r="E297"/>
      <c r="F297"/>
      <c r="G297"/>
      <c r="H297"/>
      <c r="I297"/>
      <c r="J297"/>
      <c r="K297"/>
      <c r="L297"/>
      <c r="M297"/>
      <c r="N297"/>
    </row>
    <row r="298" spans="1:14" x14ac:dyDescent="0.2">
      <c r="A298" s="32"/>
      <c r="B298" s="32"/>
      <c r="C298" s="32"/>
      <c r="D298" s="32"/>
      <c r="E298" s="32"/>
      <c r="F298" s="32"/>
      <c r="G298" s="32"/>
      <c r="H298" s="32"/>
      <c r="I298" s="32"/>
    </row>
    <row r="299" spans="1:14" x14ac:dyDescent="0.2">
      <c r="A299" s="32"/>
      <c r="B299" s="32"/>
      <c r="C299" s="278" t="s">
        <v>190</v>
      </c>
      <c r="D299" s="32"/>
      <c r="E299" s="32"/>
      <c r="F299" s="32"/>
      <c r="G299" s="32"/>
      <c r="H299" s="32"/>
      <c r="I299" s="32"/>
    </row>
    <row r="300" spans="1:14" x14ac:dyDescent="0.2">
      <c r="A300" s="182">
        <v>1</v>
      </c>
      <c r="B300" s="589" t="str">
        <f>IFERROR(INDEX(H$100:H$300,MATCH(A300&amp;". koht",H$101:H$301,0)),"")</f>
        <v>Ivar Viljaste</v>
      </c>
      <c r="C300" s="55">
        <v>40</v>
      </c>
      <c r="F300" s="32"/>
      <c r="G300" s="32"/>
      <c r="I300" s="32"/>
    </row>
    <row r="301" spans="1:14" x14ac:dyDescent="0.2">
      <c r="A301" s="182">
        <v>2</v>
      </c>
      <c r="B301" s="590" t="str">
        <f t="shared" ref="B301:B316" si="16">IFERROR(INDEX(H$100:H$300,MATCH(A301&amp;". koht",H$101:H$301,0)),"")</f>
        <v>Aarne Välja</v>
      </c>
      <c r="C301" s="55">
        <v>34</v>
      </c>
      <c r="F301" s="32"/>
      <c r="G301" s="32"/>
      <c r="I301" s="32"/>
    </row>
    <row r="302" spans="1:14" x14ac:dyDescent="0.2">
      <c r="A302" s="182">
        <v>3</v>
      </c>
      <c r="B302" s="591" t="str">
        <f t="shared" si="16"/>
        <v>Boriss Klubov</v>
      </c>
      <c r="C302" s="55">
        <v>30</v>
      </c>
      <c r="F302" s="32"/>
      <c r="G302" s="32"/>
      <c r="I302" s="32"/>
    </row>
    <row r="303" spans="1:14" x14ac:dyDescent="0.2">
      <c r="A303" s="182">
        <v>4</v>
      </c>
      <c r="B303" s="175" t="str">
        <f t="shared" si="16"/>
        <v>Tõnu Kapper</v>
      </c>
      <c r="C303" s="55">
        <v>26</v>
      </c>
      <c r="F303" s="32"/>
      <c r="G303" s="32"/>
      <c r="I303" s="32"/>
    </row>
    <row r="304" spans="1:14" x14ac:dyDescent="0.2">
      <c r="A304" s="182">
        <v>5</v>
      </c>
      <c r="B304" s="175" t="str">
        <f t="shared" si="16"/>
        <v>Mait Metsla</v>
      </c>
      <c r="C304" s="32">
        <v>24</v>
      </c>
      <c r="F304" s="32"/>
      <c r="G304" s="32"/>
      <c r="I304" s="32"/>
    </row>
    <row r="305" spans="1:9" x14ac:dyDescent="0.2">
      <c r="A305" s="182">
        <v>6</v>
      </c>
      <c r="B305" s="175" t="str">
        <f t="shared" si="16"/>
        <v>Janek Tarto</v>
      </c>
      <c r="C305" s="32">
        <v>22</v>
      </c>
      <c r="F305" s="32"/>
      <c r="G305" s="32"/>
      <c r="I305" s="32"/>
    </row>
    <row r="306" spans="1:9" x14ac:dyDescent="0.2">
      <c r="A306" s="182">
        <v>7</v>
      </c>
      <c r="B306" s="175" t="str">
        <f t="shared" si="16"/>
        <v>Oleg Rõndenkov</v>
      </c>
      <c r="C306" s="32">
        <v>20</v>
      </c>
      <c r="F306" s="32"/>
      <c r="G306" s="32"/>
      <c r="I306" s="32"/>
    </row>
    <row r="307" spans="1:9" x14ac:dyDescent="0.2">
      <c r="A307" s="182">
        <v>8</v>
      </c>
      <c r="B307" s="175" t="str">
        <f t="shared" si="16"/>
        <v>Matti Vinni</v>
      </c>
      <c r="C307" s="32">
        <v>18</v>
      </c>
      <c r="F307" s="32"/>
      <c r="G307" s="32"/>
      <c r="I307" s="32"/>
    </row>
    <row r="308" spans="1:9" x14ac:dyDescent="0.2">
      <c r="A308" s="182">
        <v>9</v>
      </c>
      <c r="B308" s="175" t="str">
        <f t="shared" si="16"/>
        <v>Meelis Luud</v>
      </c>
      <c r="C308" s="32">
        <v>16</v>
      </c>
      <c r="F308" s="32"/>
      <c r="G308" s="32"/>
      <c r="I308" s="32"/>
    </row>
    <row r="309" spans="1:9" x14ac:dyDescent="0.2">
      <c r="A309" s="182">
        <v>10</v>
      </c>
      <c r="B309" s="175" t="str">
        <f t="shared" si="16"/>
        <v>Vladimir Ogneštšikov</v>
      </c>
      <c r="C309" s="32">
        <v>14</v>
      </c>
    </row>
    <row r="310" spans="1:9" x14ac:dyDescent="0.2">
      <c r="A310" s="182">
        <v>11</v>
      </c>
      <c r="B310" s="175" t="str">
        <f t="shared" si="16"/>
        <v>Tõnu Piik</v>
      </c>
      <c r="C310" s="32">
        <v>12</v>
      </c>
    </row>
    <row r="311" spans="1:9" x14ac:dyDescent="0.2">
      <c r="A311" s="182">
        <v>12</v>
      </c>
      <c r="B311" s="175" t="str">
        <f t="shared" si="16"/>
        <v>Argo Sepp</v>
      </c>
      <c r="C311" s="32">
        <v>10</v>
      </c>
    </row>
    <row r="312" spans="1:9" x14ac:dyDescent="0.2">
      <c r="A312" s="182">
        <v>13</v>
      </c>
      <c r="B312" s="175" t="str">
        <f t="shared" si="16"/>
        <v>Andrei Grintšak</v>
      </c>
      <c r="C312" s="32">
        <v>8</v>
      </c>
    </row>
    <row r="313" spans="1:9" x14ac:dyDescent="0.2">
      <c r="A313" s="182">
        <v>14</v>
      </c>
      <c r="B313" s="175" t="str">
        <f t="shared" si="16"/>
        <v>Emil Murzajev</v>
      </c>
      <c r="C313" s="32">
        <v>6</v>
      </c>
    </row>
    <row r="314" spans="1:9" x14ac:dyDescent="0.2">
      <c r="A314" s="182">
        <v>15</v>
      </c>
      <c r="B314" s="175" t="str">
        <f t="shared" si="16"/>
        <v>Elmo Lageda</v>
      </c>
      <c r="C314" s="32">
        <v>4</v>
      </c>
    </row>
    <row r="315" spans="1:9" x14ac:dyDescent="0.2">
      <c r="A315" s="182">
        <v>16</v>
      </c>
      <c r="B315" s="175" t="str">
        <f t="shared" si="16"/>
        <v>Jaan Sepp</v>
      </c>
      <c r="C315" s="32">
        <v>2</v>
      </c>
    </row>
    <row r="316" spans="1:9" x14ac:dyDescent="0.2">
      <c r="A316" s="182">
        <v>17</v>
      </c>
      <c r="B316" s="175" t="str">
        <f t="shared" si="16"/>
        <v>Daniil Alekankin</v>
      </c>
      <c r="C316" s="32">
        <v>1</v>
      </c>
    </row>
  </sheetData>
  <sortState ref="L99:L115">
    <sortCondition ref="L99"/>
  </sortState>
  <conditionalFormatting sqref="B300:B316">
    <cfRule type="containsBlanks" dxfId="2958" priority="273">
      <formula>LEN(TRIM(B300))=0</formula>
    </cfRule>
    <cfRule type="duplicateValues" dxfId="2957" priority="274"/>
  </conditionalFormatting>
  <conditionalFormatting sqref="D7 C8">
    <cfRule type="aboveAverage" dxfId="2956" priority="271"/>
  </conditionalFormatting>
  <conditionalFormatting sqref="E7 C9">
    <cfRule type="aboveAverage" dxfId="2955" priority="270"/>
  </conditionalFormatting>
  <conditionalFormatting sqref="F7 C10">
    <cfRule type="aboveAverage" dxfId="2954" priority="269"/>
  </conditionalFormatting>
  <conditionalFormatting sqref="E8 D9">
    <cfRule type="aboveAverage" dxfId="2953" priority="268"/>
  </conditionalFormatting>
  <conditionalFormatting sqref="G7 C11">
    <cfRule type="aboveAverage" dxfId="2952" priority="267"/>
  </conditionalFormatting>
  <conditionalFormatting sqref="F8 D10">
    <cfRule type="aboveAverage" dxfId="2951" priority="266"/>
  </conditionalFormatting>
  <conditionalFormatting sqref="G8 D11">
    <cfRule type="aboveAverage" dxfId="2950" priority="265"/>
  </conditionalFormatting>
  <conditionalFormatting sqref="F9 E10">
    <cfRule type="aboveAverage" dxfId="2949" priority="264"/>
  </conditionalFormatting>
  <conditionalFormatting sqref="G9 E11">
    <cfRule type="aboveAverage" dxfId="2948" priority="263"/>
  </conditionalFormatting>
  <conditionalFormatting sqref="F11 G10">
    <cfRule type="aboveAverage" dxfId="2947" priority="262"/>
  </conditionalFormatting>
  <conditionalFormatting sqref="K14:K18">
    <cfRule type="expression" dxfId="2946" priority="254">
      <formula>AND(J14=3,IF(COUNTIF(J$14:J$18,"=3")&gt;=2,TRUE))</formula>
    </cfRule>
    <cfRule type="expression" dxfId="2945" priority="260">
      <formula>AND(J14=1,IF(COUNTIF(J$14:J$18,"=1")&gt;=2,TRUE))</formula>
    </cfRule>
    <cfRule type="expression" dxfId="2944" priority="261">
      <formula>AND(J14=2,IF(COUNTIF(J$14:J$18,"=2")&gt;=2,TRUE))</formula>
    </cfRule>
  </conditionalFormatting>
  <conditionalFormatting sqref="K21:K25">
    <cfRule type="expression" dxfId="2943" priority="253">
      <formula>AND(J21=3,IF(COUNTIF(J$21:J$25,"=3")&gt;=2,TRUE))</formula>
    </cfRule>
    <cfRule type="expression" dxfId="2942" priority="258">
      <formula>AND(J21=1,IF(COUNTIF(J$21:J$25,"=1")&gt;=2,TRUE))</formula>
    </cfRule>
    <cfRule type="expression" dxfId="2941" priority="259">
      <formula>AND(J21=2,IF(COUNTIF(J$21:J$25,"=2")&gt;=2,TRUE))</formula>
    </cfRule>
  </conditionalFormatting>
  <conditionalFormatting sqref="K7:K11">
    <cfRule type="expression" dxfId="2940" priority="255">
      <formula>AND(J7=3,IF(COUNTIF(J$7:J$11,"=3")&gt;=2,TRUE))</formula>
    </cfRule>
    <cfRule type="expression" dxfId="2939" priority="256">
      <formula>AND(J7=1,IF(COUNTIF(J$7:J$11,"=1")&gt;=2,TRUE))</formula>
    </cfRule>
    <cfRule type="expression" dxfId="2938" priority="257">
      <formula>AND(J7=2,IF(COUNTIF(J$7:J$11,"=2")&gt;=2,TRUE))</formula>
    </cfRule>
  </conditionalFormatting>
  <conditionalFormatting sqref="H7:H11">
    <cfRule type="expression" dxfId="2937" priority="244">
      <formula>AND(J7=1,IF(COUNTIF(J$7:J$11,"=1")&gt;=2,TRUE))</formula>
    </cfRule>
    <cfRule type="expression" dxfId="2936" priority="251">
      <formula>AND(J7=3,IF(COUNTIF(J$7:J$11,"=3")&gt;=2,TRUE))</formula>
    </cfRule>
    <cfRule type="expression" dxfId="2935" priority="252">
      <formula>AND(J7=2,IF(COUNTIF(J$7:J$11,"=2")&gt;=2,TRUE))</formula>
    </cfRule>
  </conditionalFormatting>
  <conditionalFormatting sqref="H14:H18">
    <cfRule type="expression" dxfId="2934" priority="245">
      <formula>AND(J14=1,IF(COUNTIF(J$14:J$18,"=1")&gt;=2,TRUE))</formula>
    </cfRule>
    <cfRule type="expression" dxfId="2933" priority="249">
      <formula>AND(J14=3,IF(COUNTIF(J$14:J$18,"=3")&gt;=2,TRUE))</formula>
    </cfRule>
    <cfRule type="expression" dxfId="2932" priority="250">
      <formula>AND(J14=2,IF(COUNTIF(J$14:J$18,"=2")&gt;=2,TRUE))</formula>
    </cfRule>
  </conditionalFormatting>
  <conditionalFormatting sqref="H21:H25">
    <cfRule type="expression" dxfId="2931" priority="246">
      <formula>AND(J21=1,IF(COUNTIF(J$21:J$25,"=1")&gt;=2,TRUE))</formula>
    </cfRule>
    <cfRule type="expression" dxfId="2930" priority="247">
      <formula>AND(J21=3,IF(COUNTIF(J$21:J$25,"=3")&gt;=2,TRUE))</formula>
    </cfRule>
    <cfRule type="expression" dxfId="2929" priority="248">
      <formula>AND(J21=2,IF(COUNTIF(J$21:J$25,"=2")&gt;=2,TRUE))</formula>
    </cfRule>
  </conditionalFormatting>
  <conditionalFormatting sqref="C69 C73:C74">
    <cfRule type="aboveAverage" dxfId="2928" priority="243"/>
  </conditionalFormatting>
  <conditionalFormatting sqref="D69 D73:D74">
    <cfRule type="aboveAverage" dxfId="2927" priority="242"/>
  </conditionalFormatting>
  <conditionalFormatting sqref="K28:K32">
    <cfRule type="expression" dxfId="2926" priority="239">
      <formula>AND(J28=3,IF(COUNTIF(J$28:J$32,"=3")&gt;=2,TRUE))</formula>
    </cfRule>
    <cfRule type="expression" dxfId="2925" priority="240">
      <formula>AND(J28=1,IF(COUNTIF(J$28:J$32,"=1")&gt;=2,TRUE))</formula>
    </cfRule>
    <cfRule type="expression" dxfId="2924" priority="241">
      <formula>AND(J28=2,IF(COUNTIF(J$28:J$32,"=2")&gt;=2,TRUE))</formula>
    </cfRule>
  </conditionalFormatting>
  <conditionalFormatting sqref="H28:H32">
    <cfRule type="expression" dxfId="2923" priority="236">
      <formula>AND(J28=1,IF(COUNTIF(J$28:J$32,"=1")&gt;=2,TRUE))</formula>
    </cfRule>
    <cfRule type="expression" dxfId="2922" priority="237">
      <formula>AND(J28=3,IF(COUNTIF(J$28:J$32,"=3")&gt;=2,TRUE))</formula>
    </cfRule>
    <cfRule type="expression" dxfId="2921" priority="238">
      <formula>AND(J28=2,IF(COUNTIF(J$28:J$32,"=2")&gt;=2,TRUE))</formula>
    </cfRule>
  </conditionalFormatting>
  <conditionalFormatting sqref="D14 C15">
    <cfRule type="aboveAverage" dxfId="2920" priority="234"/>
  </conditionalFormatting>
  <conditionalFormatting sqref="E14 C16">
    <cfRule type="aboveAverage" dxfId="2919" priority="233"/>
  </conditionalFormatting>
  <conditionalFormatting sqref="F14 C17">
    <cfRule type="aboveAverage" dxfId="2918" priority="232"/>
  </conditionalFormatting>
  <conditionalFormatting sqref="E15 D16">
    <cfRule type="aboveAverage" dxfId="2917" priority="231"/>
  </conditionalFormatting>
  <conditionalFormatting sqref="G14 C18">
    <cfRule type="aboveAverage" dxfId="2916" priority="230"/>
  </conditionalFormatting>
  <conditionalFormatting sqref="F15 D17">
    <cfRule type="aboveAverage" dxfId="2915" priority="229"/>
  </conditionalFormatting>
  <conditionalFormatting sqref="G15 D18">
    <cfRule type="aboveAverage" dxfId="2914" priority="228"/>
  </conditionalFormatting>
  <conditionalFormatting sqref="F16 E17">
    <cfRule type="aboveAverage" dxfId="2913" priority="227"/>
  </conditionalFormatting>
  <conditionalFormatting sqref="G16 E18">
    <cfRule type="aboveAverage" dxfId="2912" priority="226"/>
  </conditionalFormatting>
  <conditionalFormatting sqref="F18 G17">
    <cfRule type="aboveAverage" dxfId="2911" priority="225"/>
  </conditionalFormatting>
  <conditionalFormatting sqref="D21 C22">
    <cfRule type="aboveAverage" dxfId="2910" priority="223"/>
  </conditionalFormatting>
  <conditionalFormatting sqref="E21 C23">
    <cfRule type="aboveAverage" dxfId="2909" priority="222"/>
  </conditionalFormatting>
  <conditionalFormatting sqref="F21 C24">
    <cfRule type="aboveAverage" dxfId="2908" priority="221"/>
  </conditionalFormatting>
  <conditionalFormatting sqref="E22 D23">
    <cfRule type="aboveAverage" dxfId="2907" priority="220"/>
  </conditionalFormatting>
  <conditionalFormatting sqref="G21 C25">
    <cfRule type="aboveAverage" dxfId="2906" priority="219"/>
  </conditionalFormatting>
  <conditionalFormatting sqref="F22 D24">
    <cfRule type="aboveAverage" dxfId="2905" priority="218"/>
  </conditionalFormatting>
  <conditionalFormatting sqref="G22 D25">
    <cfRule type="aboveAverage" dxfId="2904" priority="217"/>
  </conditionalFormatting>
  <conditionalFormatting sqref="F23 E24">
    <cfRule type="aboveAverage" dxfId="2903" priority="216"/>
  </conditionalFormatting>
  <conditionalFormatting sqref="G23 E25">
    <cfRule type="aboveAverage" dxfId="2902" priority="215"/>
  </conditionalFormatting>
  <conditionalFormatting sqref="F25 G24">
    <cfRule type="aboveAverage" dxfId="2901" priority="214"/>
  </conditionalFormatting>
  <conditionalFormatting sqref="D28 C29">
    <cfRule type="aboveAverage" dxfId="2900" priority="212"/>
  </conditionalFormatting>
  <conditionalFormatting sqref="E28 C30">
    <cfRule type="aboveAverage" dxfId="2899" priority="211"/>
  </conditionalFormatting>
  <conditionalFormatting sqref="F28 C31">
    <cfRule type="aboveAverage" dxfId="2898" priority="210"/>
  </conditionalFormatting>
  <conditionalFormatting sqref="E29 D30">
    <cfRule type="aboveAverage" dxfId="2897" priority="209"/>
  </conditionalFormatting>
  <conditionalFormatting sqref="G28 C32">
    <cfRule type="aboveAverage" dxfId="2896" priority="208"/>
  </conditionalFormatting>
  <conditionalFormatting sqref="F29 D31">
    <cfRule type="aboveAverage" dxfId="2895" priority="207"/>
  </conditionalFormatting>
  <conditionalFormatting sqref="G29 D32">
    <cfRule type="aboveAverage" dxfId="2894" priority="206"/>
  </conditionalFormatting>
  <conditionalFormatting sqref="F30 E31">
    <cfRule type="aboveAverage" dxfId="2893" priority="205"/>
  </conditionalFormatting>
  <conditionalFormatting sqref="G30 E32">
    <cfRule type="aboveAverage" dxfId="2892" priority="204"/>
  </conditionalFormatting>
  <conditionalFormatting sqref="F32 G31">
    <cfRule type="aboveAverage" dxfId="2891" priority="203"/>
  </conditionalFormatting>
  <conditionalFormatting sqref="D35 C36">
    <cfRule type="aboveAverage" dxfId="2890" priority="201"/>
  </conditionalFormatting>
  <conditionalFormatting sqref="E35 C37">
    <cfRule type="aboveAverage" dxfId="2889" priority="200"/>
  </conditionalFormatting>
  <conditionalFormatting sqref="F35 C38">
    <cfRule type="aboveAverage" dxfId="2888" priority="199"/>
  </conditionalFormatting>
  <conditionalFormatting sqref="E36 D37">
    <cfRule type="aboveAverage" dxfId="2887" priority="198"/>
  </conditionalFormatting>
  <conditionalFormatting sqref="G35 C39">
    <cfRule type="aboveAverage" dxfId="2886" priority="197"/>
  </conditionalFormatting>
  <conditionalFormatting sqref="F36 D38">
    <cfRule type="aboveAverage" dxfId="2885" priority="196"/>
  </conditionalFormatting>
  <conditionalFormatting sqref="G36 D39">
    <cfRule type="aboveAverage" dxfId="2884" priority="195"/>
  </conditionalFormatting>
  <conditionalFormatting sqref="F37 E38">
    <cfRule type="aboveAverage" dxfId="2883" priority="194"/>
  </conditionalFormatting>
  <conditionalFormatting sqref="G37 E39">
    <cfRule type="aboveAverage" dxfId="2882" priority="193"/>
  </conditionalFormatting>
  <conditionalFormatting sqref="F39 G38">
    <cfRule type="aboveAverage" dxfId="2881" priority="192"/>
  </conditionalFormatting>
  <conditionalFormatting sqref="K42:K46">
    <cfRule type="expression" dxfId="2880" priority="184">
      <formula>AND(J42=3,IF(COUNTIF(J$14:J$18,"=3")&gt;=2,TRUE))</formula>
    </cfRule>
    <cfRule type="expression" dxfId="2879" priority="190">
      <formula>AND(J42=1,IF(COUNTIF(J$14:J$18,"=1")&gt;=2,TRUE))</formula>
    </cfRule>
    <cfRule type="expression" dxfId="2878" priority="191">
      <formula>AND(J42=2,IF(COUNTIF(J$14:J$18,"=2")&gt;=2,TRUE))</formula>
    </cfRule>
  </conditionalFormatting>
  <conditionalFormatting sqref="K49:K53">
    <cfRule type="expression" dxfId="2877" priority="183">
      <formula>AND(J49=3,IF(COUNTIF(J$21:J$25,"=3")&gt;=2,TRUE))</formula>
    </cfRule>
    <cfRule type="expression" dxfId="2876" priority="188">
      <formula>AND(J49=1,IF(COUNTIF(J$21:J$25,"=1")&gt;=2,TRUE))</formula>
    </cfRule>
    <cfRule type="expression" dxfId="2875" priority="189">
      <formula>AND(J49=2,IF(COUNTIF(J$21:J$25,"=2")&gt;=2,TRUE))</formula>
    </cfRule>
  </conditionalFormatting>
  <conditionalFormatting sqref="K35:K39">
    <cfRule type="expression" dxfId="2874" priority="185">
      <formula>AND(J35=3,IF(COUNTIF(J$7:J$11,"=3")&gt;=2,TRUE))</formula>
    </cfRule>
    <cfRule type="expression" dxfId="2873" priority="186">
      <formula>AND(J35=1,IF(COUNTIF(J$7:J$11,"=1")&gt;=2,TRUE))</formula>
    </cfRule>
    <cfRule type="expression" dxfId="2872" priority="187">
      <formula>AND(J35=2,IF(COUNTIF(J$7:J$11,"=2")&gt;=2,TRUE))</formula>
    </cfRule>
  </conditionalFormatting>
  <conditionalFormatting sqref="H35:H39">
    <cfRule type="expression" dxfId="2871" priority="174">
      <formula>AND(J35=1,IF(COUNTIF(J$7:J$11,"=1")&gt;=2,TRUE))</formula>
    </cfRule>
    <cfRule type="expression" dxfId="2870" priority="181">
      <formula>AND(J35=3,IF(COUNTIF(J$7:J$11,"=3")&gt;=2,TRUE))</formula>
    </cfRule>
    <cfRule type="expression" dxfId="2869" priority="182">
      <formula>AND(J35=2,IF(COUNTIF(J$7:J$11,"=2")&gt;=2,TRUE))</formula>
    </cfRule>
  </conditionalFormatting>
  <conditionalFormatting sqref="H42:H46">
    <cfRule type="expression" dxfId="2868" priority="175">
      <formula>AND(J42=1,IF(COUNTIF(J$14:J$18,"=1")&gt;=2,TRUE))</formula>
    </cfRule>
    <cfRule type="expression" dxfId="2867" priority="179">
      <formula>AND(J42=3,IF(COUNTIF(J$14:J$18,"=3")&gt;=2,TRUE))</formula>
    </cfRule>
    <cfRule type="expression" dxfId="2866" priority="180">
      <formula>AND(J42=2,IF(COUNTIF(J$14:J$18,"=2")&gt;=2,TRUE))</formula>
    </cfRule>
  </conditionalFormatting>
  <conditionalFormatting sqref="H49:H53">
    <cfRule type="expression" dxfId="2865" priority="176">
      <formula>AND(J49=1,IF(COUNTIF(J$21:J$25,"=1")&gt;=2,TRUE))</formula>
    </cfRule>
    <cfRule type="expression" dxfId="2864" priority="177">
      <formula>AND(J49=3,IF(COUNTIF(J$21:J$25,"=3")&gt;=2,TRUE))</formula>
    </cfRule>
    <cfRule type="expression" dxfId="2863" priority="178">
      <formula>AND(J49=2,IF(COUNTIF(J$21:J$25,"=2")&gt;=2,TRUE))</formula>
    </cfRule>
  </conditionalFormatting>
  <conditionalFormatting sqref="K56:K60">
    <cfRule type="expression" dxfId="2862" priority="171">
      <formula>AND(J56=3,IF(COUNTIF(J$28:J$32,"=3")&gt;=2,TRUE))</formula>
    </cfRule>
    <cfRule type="expression" dxfId="2861" priority="172">
      <formula>AND(J56=1,IF(COUNTIF(J$28:J$32,"=1")&gt;=2,TRUE))</formula>
    </cfRule>
    <cfRule type="expression" dxfId="2860" priority="173">
      <formula>AND(J56=2,IF(COUNTIF(J$28:J$32,"=2")&gt;=2,TRUE))</formula>
    </cfRule>
  </conditionalFormatting>
  <conditionalFormatting sqref="H56:H60">
    <cfRule type="expression" dxfId="2859" priority="168">
      <formula>AND(J56=1,IF(COUNTIF(J$28:J$32,"=1")&gt;=2,TRUE))</formula>
    </cfRule>
    <cfRule type="expression" dxfId="2858" priority="169">
      <formula>AND(J56=3,IF(COUNTIF(J$28:J$32,"=3")&gt;=2,TRUE))</formula>
    </cfRule>
    <cfRule type="expression" dxfId="2857" priority="170">
      <formula>AND(J56=2,IF(COUNTIF(J$28:J$32,"=2")&gt;=2,TRUE))</formula>
    </cfRule>
  </conditionalFormatting>
  <conditionalFormatting sqref="B37">
    <cfRule type="duplicateValues" dxfId="2856" priority="202"/>
  </conditionalFormatting>
  <conditionalFormatting sqref="D42 C43">
    <cfRule type="aboveAverage" dxfId="2855" priority="166"/>
  </conditionalFormatting>
  <conditionalFormatting sqref="E42 C44">
    <cfRule type="aboveAverage" dxfId="2854" priority="165"/>
  </conditionalFormatting>
  <conditionalFormatting sqref="F42 C45">
    <cfRule type="aboveAverage" dxfId="2853" priority="164"/>
  </conditionalFormatting>
  <conditionalFormatting sqref="E43 D44">
    <cfRule type="aboveAverage" dxfId="2852" priority="163"/>
  </conditionalFormatting>
  <conditionalFormatting sqref="G42 C46">
    <cfRule type="aboveAverage" dxfId="2851" priority="162"/>
  </conditionalFormatting>
  <conditionalFormatting sqref="F43 D45">
    <cfRule type="aboveAverage" dxfId="2850" priority="161"/>
  </conditionalFormatting>
  <conditionalFormatting sqref="G43 D46">
    <cfRule type="aboveAverage" dxfId="2849" priority="160"/>
  </conditionalFormatting>
  <conditionalFormatting sqref="F44 E45">
    <cfRule type="aboveAverage" dxfId="2848" priority="159"/>
  </conditionalFormatting>
  <conditionalFormatting sqref="G44 E46">
    <cfRule type="aboveAverage" dxfId="2847" priority="158"/>
  </conditionalFormatting>
  <conditionalFormatting sqref="F46 G45">
    <cfRule type="aboveAverage" dxfId="2846" priority="157"/>
  </conditionalFormatting>
  <conditionalFormatting sqref="B44">
    <cfRule type="duplicateValues" dxfId="2845" priority="167"/>
  </conditionalFormatting>
  <conditionalFormatting sqref="D49 C50">
    <cfRule type="aboveAverage" dxfId="2844" priority="155"/>
  </conditionalFormatting>
  <conditionalFormatting sqref="E49 C51">
    <cfRule type="aboveAverage" dxfId="2843" priority="154"/>
  </conditionalFormatting>
  <conditionalFormatting sqref="F49 C52">
    <cfRule type="aboveAverage" dxfId="2842" priority="153"/>
  </conditionalFormatting>
  <conditionalFormatting sqref="E50 D51">
    <cfRule type="aboveAverage" dxfId="2841" priority="152"/>
  </conditionalFormatting>
  <conditionalFormatting sqref="G49 C53">
    <cfRule type="aboveAverage" dxfId="2840" priority="151"/>
  </conditionalFormatting>
  <conditionalFormatting sqref="F50 D52">
    <cfRule type="aboveAverage" dxfId="2839" priority="150"/>
  </conditionalFormatting>
  <conditionalFormatting sqref="G50 D53">
    <cfRule type="aboveAverage" dxfId="2838" priority="149"/>
  </conditionalFormatting>
  <conditionalFormatting sqref="F51 E52">
    <cfRule type="aboveAverage" dxfId="2837" priority="148"/>
  </conditionalFormatting>
  <conditionalFormatting sqref="G51 E53">
    <cfRule type="aboveAverage" dxfId="2836" priority="147"/>
  </conditionalFormatting>
  <conditionalFormatting sqref="F53 G52">
    <cfRule type="aboveAverage" dxfId="2835" priority="146"/>
  </conditionalFormatting>
  <conditionalFormatting sqref="B51">
    <cfRule type="duplicateValues" dxfId="2834" priority="156"/>
  </conditionalFormatting>
  <conditionalFormatting sqref="D56 C57">
    <cfRule type="aboveAverage" dxfId="2833" priority="144"/>
  </conditionalFormatting>
  <conditionalFormatting sqref="E56 C58">
    <cfRule type="aboveAverage" dxfId="2832" priority="143"/>
  </conditionalFormatting>
  <conditionalFormatting sqref="F56 C59">
    <cfRule type="aboveAverage" dxfId="2831" priority="142"/>
  </conditionalFormatting>
  <conditionalFormatting sqref="E57 D58">
    <cfRule type="aboveAverage" dxfId="2830" priority="141"/>
  </conditionalFormatting>
  <conditionalFormatting sqref="G56 C60">
    <cfRule type="aboveAverage" dxfId="2829" priority="140"/>
  </conditionalFormatting>
  <conditionalFormatting sqref="F57 D59">
    <cfRule type="aboveAverage" dxfId="2828" priority="139"/>
  </conditionalFormatting>
  <conditionalFormatting sqref="G57 D60">
    <cfRule type="aboveAverage" dxfId="2827" priority="138"/>
  </conditionalFormatting>
  <conditionalFormatting sqref="F58 E59">
    <cfRule type="aboveAverage" dxfId="2826" priority="137"/>
  </conditionalFormatting>
  <conditionalFormatting sqref="G58 E60">
    <cfRule type="aboveAverage" dxfId="2825" priority="136"/>
  </conditionalFormatting>
  <conditionalFormatting sqref="F60 G59">
    <cfRule type="aboveAverage" dxfId="2824" priority="135"/>
  </conditionalFormatting>
  <conditionalFormatting sqref="B58">
    <cfRule type="duplicateValues" dxfId="2823" priority="145"/>
  </conditionalFormatting>
  <conditionalFormatting sqref="G161 G165 G168 G170">
    <cfRule type="containsBlanks" dxfId="2822" priority="100">
      <formula>LEN(TRIM(G161))=0</formula>
    </cfRule>
  </conditionalFormatting>
  <conditionalFormatting sqref="C143 C145 C147 C149 C151 C153">
    <cfRule type="containsBlanks" dxfId="2821" priority="96">
      <formula>LEN(TRIM(C143))=0</formula>
    </cfRule>
  </conditionalFormatting>
  <conditionalFormatting sqref="C139 C141">
    <cfRule type="containsBlanks" dxfId="2820" priority="94">
      <formula>LEN(TRIM(C139))=0</formula>
    </cfRule>
  </conditionalFormatting>
  <conditionalFormatting sqref="E160 E162">
    <cfRule type="containsBlanks" dxfId="2819" priority="92">
      <formula>LEN(TRIM(E160))=0</formula>
    </cfRule>
  </conditionalFormatting>
  <conditionalFormatting sqref="E164 E166">
    <cfRule type="containsBlanks" dxfId="2818" priority="90">
      <formula>LEN(TRIM(E164))=0</formula>
    </cfRule>
  </conditionalFormatting>
  <conditionalFormatting sqref="G154 G156">
    <cfRule type="containsBlanks" dxfId="2817" priority="88">
      <formula>LEN(TRIM(G154))=0</formula>
    </cfRule>
  </conditionalFormatting>
  <conditionalFormatting sqref="A101:A115">
    <cfRule type="cellIs" dxfId="2816" priority="132" operator="equal">
      <formula>"-"</formula>
    </cfRule>
    <cfRule type="duplicateValues" dxfId="2815" priority="133"/>
  </conditionalFormatting>
  <conditionalFormatting sqref="G123 G127">
    <cfRule type="aboveAverage" dxfId="2814" priority="131"/>
  </conditionalFormatting>
  <conditionalFormatting sqref="G130 G132">
    <cfRule type="aboveAverage" dxfId="2813" priority="130"/>
  </conditionalFormatting>
  <conditionalFormatting sqref="G123 G127 G130 G132">
    <cfRule type="containsBlanks" dxfId="2812" priority="129">
      <formula>LEN(TRIM(G123))=0</formula>
    </cfRule>
  </conditionalFormatting>
  <conditionalFormatting sqref="C105 C107">
    <cfRule type="aboveAverage" dxfId="2811" priority="128"/>
  </conditionalFormatting>
  <conditionalFormatting sqref="C109 C111">
    <cfRule type="aboveAverage" dxfId="2810" priority="127"/>
  </conditionalFormatting>
  <conditionalFormatting sqref="C113 C115">
    <cfRule type="aboveAverage" dxfId="2809" priority="126"/>
  </conditionalFormatting>
  <conditionalFormatting sqref="C105 C107 C109 C111 C113 C115">
    <cfRule type="containsBlanks" dxfId="2808" priority="125">
      <formula>LEN(TRIM(C105))=0</formula>
    </cfRule>
  </conditionalFormatting>
  <conditionalFormatting sqref="C101 C103">
    <cfRule type="aboveAverage" dxfId="2807" priority="124"/>
  </conditionalFormatting>
  <conditionalFormatting sqref="C101 C103">
    <cfRule type="containsBlanks" dxfId="2806" priority="123">
      <formula>LEN(TRIM(C101))=0</formula>
    </cfRule>
  </conditionalFormatting>
  <conditionalFormatting sqref="E122 E124">
    <cfRule type="aboveAverage" dxfId="2805" priority="122"/>
  </conditionalFormatting>
  <conditionalFormatting sqref="E122 E124">
    <cfRule type="containsBlanks" dxfId="2804" priority="121">
      <formula>LEN(TRIM(E122))=0</formula>
    </cfRule>
  </conditionalFormatting>
  <conditionalFormatting sqref="E126 E128">
    <cfRule type="aboveAverage" dxfId="2803" priority="120"/>
  </conditionalFormatting>
  <conditionalFormatting sqref="E126 E128">
    <cfRule type="containsBlanks" dxfId="2802" priority="119">
      <formula>LEN(TRIM(E126))=0</formula>
    </cfRule>
  </conditionalFormatting>
  <conditionalFormatting sqref="G116 G118">
    <cfRule type="aboveAverage" dxfId="2801" priority="118"/>
  </conditionalFormatting>
  <conditionalFormatting sqref="G116 G118">
    <cfRule type="containsBlanks" dxfId="2800" priority="117">
      <formula>LEN(TRIM(G116))=0</formula>
    </cfRule>
  </conditionalFormatting>
  <conditionalFormatting sqref="A139:A153">
    <cfRule type="cellIs" dxfId="2799" priority="103" operator="equal">
      <formula>"-"</formula>
    </cfRule>
    <cfRule type="duplicateValues" dxfId="2798" priority="104"/>
  </conditionalFormatting>
  <conditionalFormatting sqref="G161 G165">
    <cfRule type="aboveAverage" dxfId="2797" priority="102"/>
  </conditionalFormatting>
  <conditionalFormatting sqref="G168 G170">
    <cfRule type="aboveAverage" dxfId="2796" priority="101"/>
  </conditionalFormatting>
  <conditionalFormatting sqref="C143 C145">
    <cfRule type="aboveAverage" dxfId="2795" priority="99"/>
  </conditionalFormatting>
  <conditionalFormatting sqref="C147 C149">
    <cfRule type="aboveAverage" dxfId="2794" priority="98"/>
  </conditionalFormatting>
  <conditionalFormatting sqref="C151 C153">
    <cfRule type="aboveAverage" dxfId="2793" priority="97"/>
  </conditionalFormatting>
  <conditionalFormatting sqref="C139 C141">
    <cfRule type="aboveAverage" dxfId="2792" priority="95"/>
  </conditionalFormatting>
  <conditionalFormatting sqref="E160 E162">
    <cfRule type="aboveAverage" dxfId="2791" priority="93"/>
  </conditionalFormatting>
  <conditionalFormatting sqref="E164 E166">
    <cfRule type="aboveAverage" dxfId="2790" priority="91"/>
  </conditionalFormatting>
  <conditionalFormatting sqref="G154 G156">
    <cfRule type="aboveAverage" dxfId="2789" priority="89"/>
  </conditionalFormatting>
  <conditionalFormatting sqref="I10:I11">
    <cfRule type="expression" dxfId="2788" priority="74">
      <formula>FIND(2,I10,1)</formula>
    </cfRule>
    <cfRule type="expression" dxfId="2787" priority="75">
      <formula>FIND(1,I10,1)</formula>
    </cfRule>
  </conditionalFormatting>
  <conditionalFormatting sqref="I7:I9">
    <cfRule type="expression" dxfId="2786" priority="72">
      <formula>FIND(2,I7,1)</formula>
    </cfRule>
    <cfRule type="expression" dxfId="2785" priority="73">
      <formula>FIND(1,I7,1)</formula>
    </cfRule>
  </conditionalFormatting>
  <conditionalFormatting sqref="I14:I18">
    <cfRule type="expression" dxfId="2784" priority="70">
      <formula>FIND(2,I14,1)</formula>
    </cfRule>
    <cfRule type="expression" dxfId="2783" priority="71">
      <formula>FIND(1,I14,1)</formula>
    </cfRule>
  </conditionalFormatting>
  <conditionalFormatting sqref="I21:I25">
    <cfRule type="expression" dxfId="2782" priority="68">
      <formula>FIND(2,I21,1)</formula>
    </cfRule>
    <cfRule type="expression" dxfId="2781" priority="69">
      <formula>FIND(1,I21,1)</formula>
    </cfRule>
  </conditionalFormatting>
  <conditionalFormatting sqref="I28:I32">
    <cfRule type="expression" dxfId="2780" priority="66">
      <formula>FIND(2,I28,1)</formula>
    </cfRule>
    <cfRule type="expression" dxfId="2779" priority="67">
      <formula>FIND(1,I28,1)</formula>
    </cfRule>
  </conditionalFormatting>
  <conditionalFormatting sqref="I38:I39">
    <cfRule type="expression" dxfId="2778" priority="64">
      <formula>FIND(2,I38,1)</formula>
    </cfRule>
    <cfRule type="expression" dxfId="2777" priority="65">
      <formula>FIND(1,I38,1)</formula>
    </cfRule>
  </conditionalFormatting>
  <conditionalFormatting sqref="I35:I37">
    <cfRule type="expression" dxfId="2776" priority="62">
      <formula>FIND(2,I35,1)</formula>
    </cfRule>
    <cfRule type="expression" dxfId="2775" priority="63">
      <formula>FIND(1,I35,1)</formula>
    </cfRule>
  </conditionalFormatting>
  <conditionalFormatting sqref="I42:I46">
    <cfRule type="expression" dxfId="2774" priority="60">
      <formula>FIND(2,I42,1)</formula>
    </cfRule>
    <cfRule type="expression" dxfId="2773" priority="61">
      <formula>FIND(1,I42,1)</formula>
    </cfRule>
  </conditionalFormatting>
  <conditionalFormatting sqref="I49:I53">
    <cfRule type="expression" dxfId="2772" priority="58">
      <formula>FIND(2,I49,1)</formula>
    </cfRule>
    <cfRule type="expression" dxfId="2771" priority="59">
      <formula>FIND(1,I49,1)</formula>
    </cfRule>
  </conditionalFormatting>
  <conditionalFormatting sqref="I56:I60">
    <cfRule type="expression" dxfId="2770" priority="56">
      <formula>FIND(2,I56,1)</formula>
    </cfRule>
    <cfRule type="expression" dxfId="2769" priority="57">
      <formula>FIND(1,I56,1)</formula>
    </cfRule>
  </conditionalFormatting>
  <conditionalFormatting sqref="C105 C107">
    <cfRule type="aboveAverage" dxfId="2768" priority="55"/>
  </conditionalFormatting>
  <conditionalFormatting sqref="C105 C107">
    <cfRule type="containsBlanks" dxfId="2767" priority="54">
      <formula>LEN(TRIM(C105))=0</formula>
    </cfRule>
  </conditionalFormatting>
  <conditionalFormatting sqref="C109 C111">
    <cfRule type="aboveAverage" dxfId="2766" priority="53"/>
  </conditionalFormatting>
  <conditionalFormatting sqref="C109 C111">
    <cfRule type="containsBlanks" dxfId="2765" priority="52">
      <formula>LEN(TRIM(C109))=0</formula>
    </cfRule>
  </conditionalFormatting>
  <conditionalFormatting sqref="C113 C115">
    <cfRule type="aboveAverage" dxfId="2764" priority="51"/>
  </conditionalFormatting>
  <conditionalFormatting sqref="C113 C115">
    <cfRule type="containsBlanks" dxfId="2763" priority="50">
      <formula>LEN(TRIM(C113))=0</formula>
    </cfRule>
  </conditionalFormatting>
  <conditionalFormatting sqref="L15:L18">
    <cfRule type="expression" dxfId="2762" priority="44">
      <formula>OR(J15=0,J15=4)</formula>
    </cfRule>
    <cfRule type="expression" dxfId="2761" priority="48">
      <formula>AND(J15=1,IF(COUNTIF(J$14:J$18,"=1")=1,TRUE))</formula>
    </cfRule>
    <cfRule type="expression" dxfId="2760" priority="49">
      <formula>AND(J15=3,IF(COUNTIF(J$14:J$18,"=3")=1,TRUE))</formula>
    </cfRule>
  </conditionalFormatting>
  <conditionalFormatting sqref="L21:L25">
    <cfRule type="expression" dxfId="2759" priority="45">
      <formula>OR(J21=0,J21=4)</formula>
    </cfRule>
    <cfRule type="expression" dxfId="2758" priority="46">
      <formula>AND(J21=1,IF(COUNTIF(J$21:J$25,"=1")=1,TRUE))</formula>
    </cfRule>
    <cfRule type="expression" dxfId="2757" priority="47">
      <formula>AND(J21=3,IF(COUNTIF(J$21:J$25,"=3")=1,TRUE))</formula>
    </cfRule>
  </conditionalFormatting>
  <conditionalFormatting sqref="L7:L11">
    <cfRule type="expression" dxfId="2756" priority="41">
      <formula>OR(J7=0,J7=4)</formula>
    </cfRule>
    <cfRule type="expression" dxfId="2755" priority="42">
      <formula>AND(J7=1,IF(COUNTIF(J$7:J$11,"=1")=1,TRUE))</formula>
    </cfRule>
    <cfRule type="expression" dxfId="2754" priority="43">
      <formula>AND(J7=3,IF(COUNTIF(J$7:J$11,"=3")=1,TRUE))</formula>
    </cfRule>
  </conditionalFormatting>
  <conditionalFormatting sqref="L28:L32">
    <cfRule type="expression" dxfId="2753" priority="38">
      <formula>OR(J28=0,J28=4)</formula>
    </cfRule>
    <cfRule type="expression" dxfId="2752" priority="39">
      <formula>AND(J28=1,IF(COUNTIF(J$28:J$32,"=1")=1,TRUE))</formula>
    </cfRule>
    <cfRule type="expression" dxfId="2751" priority="40">
      <formula>AND(J28=3,IF(COUNTIF(J$28:J$32,"=3")=1,TRUE))</formula>
    </cfRule>
  </conditionalFormatting>
  <conditionalFormatting sqref="L43:L46">
    <cfRule type="expression" dxfId="2750" priority="32">
      <formula>OR(J43=0,J43=4)</formula>
    </cfRule>
    <cfRule type="expression" dxfId="2749" priority="36">
      <formula>AND(J43=1,IF(COUNTIF(J$14:J$18,"=1")=1,TRUE))</formula>
    </cfRule>
    <cfRule type="expression" dxfId="2748" priority="37">
      <formula>AND(J43=3,IF(COUNTIF(J$14:J$18,"=3")=1,TRUE))</formula>
    </cfRule>
  </conditionalFormatting>
  <conditionalFormatting sqref="L49:L53">
    <cfRule type="expression" dxfId="2747" priority="33">
      <formula>OR(J49=0,J49=4)</formula>
    </cfRule>
    <cfRule type="expression" dxfId="2746" priority="34">
      <formula>AND(J49=1,IF(COUNTIF(J$21:J$25,"=1")=1,TRUE))</formula>
    </cfRule>
    <cfRule type="expression" dxfId="2745" priority="35">
      <formula>AND(J49=3,IF(COUNTIF(J$21:J$25,"=3")=1,TRUE))</formula>
    </cfRule>
  </conditionalFormatting>
  <conditionalFormatting sqref="L35:L39">
    <cfRule type="expression" dxfId="2744" priority="29">
      <formula>OR(J35=0,J35=4)</formula>
    </cfRule>
    <cfRule type="expression" dxfId="2743" priority="30">
      <formula>AND(J35=1,IF(COUNTIF(J$7:J$11,"=1")=1,TRUE))</formula>
    </cfRule>
    <cfRule type="expression" dxfId="2742" priority="31">
      <formula>AND(J35=3,IF(COUNTIF(J$7:J$11,"=3")=1,TRUE))</formula>
    </cfRule>
  </conditionalFormatting>
  <conditionalFormatting sqref="L56:L60">
    <cfRule type="expression" dxfId="2741" priority="26">
      <formula>OR(J56=0,J56=4)</formula>
    </cfRule>
    <cfRule type="expression" dxfId="2740" priority="27">
      <formula>AND(J56=1,IF(COUNTIF(J$28:J$32,"=1")=1,TRUE))</formula>
    </cfRule>
    <cfRule type="expression" dxfId="2739" priority="28">
      <formula>AND(J56=3,IF(COUNTIF(J$28:J$32,"=3")=1,TRUE))</formula>
    </cfRule>
  </conditionalFormatting>
  <conditionalFormatting sqref="L14">
    <cfRule type="expression" dxfId="2738" priority="23">
      <formula>OR(J14=0,J14=4)</formula>
    </cfRule>
    <cfRule type="expression" dxfId="2737" priority="24">
      <formula>AND(J14=1,IF(COUNTIF(J$7:J$11,"=1")=1,TRUE))</formula>
    </cfRule>
    <cfRule type="expression" dxfId="2736" priority="25">
      <formula>AND(J14=3,IF(COUNTIF(J$7:J$11,"=3")=1,TRUE))</formula>
    </cfRule>
  </conditionalFormatting>
  <conditionalFormatting sqref="L42">
    <cfRule type="expression" dxfId="2735" priority="20">
      <formula>OR(J42=0,J42=4)</formula>
    </cfRule>
    <cfRule type="expression" dxfId="2734" priority="21">
      <formula>AND(J42=1,IF(COUNTIF(J$7:J$11,"=1")=1,TRUE))</formula>
    </cfRule>
    <cfRule type="expression" dxfId="2733" priority="22">
      <formula>AND(J42=3,IF(COUNTIF(J$7:J$11,"=3")=1,TRUE))</formula>
    </cfRule>
  </conditionalFormatting>
  <conditionalFormatting sqref="C143">
    <cfRule type="containsBlanks" dxfId="2732" priority="18">
      <formula>LEN(TRIM(C143))=0</formula>
    </cfRule>
  </conditionalFormatting>
  <conditionalFormatting sqref="C143">
    <cfRule type="aboveAverage" dxfId="2731" priority="19"/>
  </conditionalFormatting>
  <conditionalFormatting sqref="C151">
    <cfRule type="aboveAverage" dxfId="2730" priority="17"/>
  </conditionalFormatting>
  <conditionalFormatting sqref="C151">
    <cfRule type="containsBlanks" dxfId="2729" priority="15">
      <formula>LEN(TRIM(C151))=0</formula>
    </cfRule>
  </conditionalFormatting>
  <conditionalFormatting sqref="C151">
    <cfRule type="aboveAverage" dxfId="2728" priority="16"/>
  </conditionalFormatting>
  <conditionalFormatting sqref="C153">
    <cfRule type="aboveAverage" dxfId="2727" priority="14"/>
  </conditionalFormatting>
  <conditionalFormatting sqref="B30">
    <cfRule type="duplicateValues" dxfId="2726" priority="13"/>
  </conditionalFormatting>
  <conditionalFormatting sqref="E102 E106">
    <cfRule type="containsBlanks" dxfId="2725" priority="11">
      <formula>LEN(TRIM(E102))=0</formula>
    </cfRule>
    <cfRule type="aboveAverage" dxfId="2724" priority="12"/>
  </conditionalFormatting>
  <conditionalFormatting sqref="E110 E114">
    <cfRule type="containsBlanks" dxfId="2723" priority="9">
      <formula>LEN(TRIM(E110))=0</formula>
    </cfRule>
    <cfRule type="aboveAverage" dxfId="2722" priority="10"/>
  </conditionalFormatting>
  <conditionalFormatting sqref="G104 G112">
    <cfRule type="containsBlanks" dxfId="2721" priority="7">
      <formula>LEN(TRIM(G104))=0</formula>
    </cfRule>
    <cfRule type="aboveAverage" dxfId="2720" priority="8"/>
  </conditionalFormatting>
  <conditionalFormatting sqref="E140 E144">
    <cfRule type="containsBlanks" dxfId="2719" priority="5">
      <formula>LEN(TRIM(E140))=0</formula>
    </cfRule>
    <cfRule type="aboveAverage" dxfId="2718" priority="6"/>
  </conditionalFormatting>
  <conditionalFormatting sqref="E148 E152">
    <cfRule type="containsBlanks" dxfId="2717" priority="3">
      <formula>LEN(TRIM(E148))=0</formula>
    </cfRule>
    <cfRule type="aboveAverage" dxfId="2716" priority="4"/>
  </conditionalFormatting>
  <conditionalFormatting sqref="G142 G150">
    <cfRule type="containsBlanks" dxfId="2715" priority="1">
      <formula>LEN(TRIM(G142))=0</formula>
    </cfRule>
    <cfRule type="aboveAverage" dxfId="2714" priority="2"/>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rowBreaks count="1" manualBreakCount="1">
    <brk id="97"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W309"/>
  <sheetViews>
    <sheetView showGridLines="0" showRowColHeaders="0" zoomScaleNormal="100" workbookViewId="0">
      <pane ySplit="2" topLeftCell="A3" activePane="bottomLeft" state="frozen"/>
      <selection activeCell="K1" sqref="K1"/>
      <selection pane="bottomLeft" activeCell="G1" sqref="G1"/>
    </sheetView>
  </sheetViews>
  <sheetFormatPr defaultRowHeight="12.75" x14ac:dyDescent="0.2"/>
  <cols>
    <col min="1" max="1" width="5.5703125" style="277" customWidth="1"/>
    <col min="2" max="2" width="52.7109375" style="277" bestFit="1" customWidth="1"/>
    <col min="3" max="3" width="6.7109375" style="277" customWidth="1"/>
    <col min="4" max="4" width="7.42578125" style="277" bestFit="1" customWidth="1"/>
    <col min="5" max="5" width="9.140625" style="277" customWidth="1"/>
    <col min="6" max="6" width="6.7109375" style="277" bestFit="1" customWidth="1"/>
    <col min="7" max="7" width="6.7109375" style="277" customWidth="1"/>
    <col min="8" max="8" width="9.140625" style="277" customWidth="1"/>
    <col min="9" max="12" width="9.140625" style="277"/>
    <col min="13" max="13" width="0" style="277" hidden="1" customWidth="1"/>
    <col min="14" max="14" width="17.28515625" style="277" hidden="1" customWidth="1"/>
    <col min="15" max="15" width="4.42578125" style="277" hidden="1" customWidth="1"/>
    <col min="16" max="16" width="17.28515625" style="277" hidden="1" customWidth="1"/>
    <col min="17" max="17" width="4.42578125" style="277" hidden="1" customWidth="1"/>
    <col min="18" max="18" width="25.7109375" style="277" hidden="1" customWidth="1"/>
    <col min="19" max="19" width="4.7109375" style="277" hidden="1" customWidth="1"/>
    <col min="20" max="20" width="18.140625" style="277" hidden="1" customWidth="1"/>
    <col min="21" max="21" width="4.85546875" style="277" hidden="1" customWidth="1"/>
    <col min="22" max="22" width="13.85546875" style="277" hidden="1" customWidth="1"/>
    <col min="23" max="23" width="4.42578125" style="277" hidden="1" customWidth="1"/>
    <col min="24" max="16384" width="9.140625" style="277"/>
  </cols>
  <sheetData>
    <row r="1" spans="1:23" x14ac:dyDescent="0.2">
      <c r="A1" s="31" t="str">
        <f>UPPER((Kalend!E18)&amp;" - "&amp;(Kalend!C18)&amp;" - "&amp;(Kalend!D18))</f>
        <v>4 - IDA-VIRUMAA MV - TRIO</v>
      </c>
      <c r="C1" s="495" t="str">
        <f>HYPERLINK("#'Kalend'!I1","Kalender")</f>
        <v>Kalender</v>
      </c>
      <c r="E1" s="495" t="str">
        <f>HYPERLINK("#'Reit'!T1","Reiting")</f>
        <v>Reiting</v>
      </c>
      <c r="M1" s="169" t="s">
        <v>180</v>
      </c>
      <c r="N1" s="597"/>
      <c r="O1" s="597"/>
      <c r="P1" s="597"/>
      <c r="Q1" s="597"/>
      <c r="R1" s="597"/>
      <c r="S1" s="597"/>
      <c r="T1" s="597"/>
      <c r="U1" s="597"/>
      <c r="V1" s="597"/>
      <c r="W1" s="597"/>
    </row>
    <row r="2" spans="1:23" x14ac:dyDescent="0.2">
      <c r="A2" s="2" t="str">
        <f>"Toimumisaeg: "&amp;(Kalend!A18)&amp;" kell "&amp;(Kalend!B18)</f>
        <v>Toimumisaeg: N, 14.06.2018 kell 18:00</v>
      </c>
      <c r="M2" s="32"/>
      <c r="N2" s="32"/>
      <c r="O2" s="32"/>
      <c r="P2" s="32"/>
      <c r="Q2" s="32"/>
      <c r="R2" s="188"/>
      <c r="S2" s="32"/>
      <c r="T2" s="32"/>
      <c r="U2" s="32"/>
      <c r="V2" s="32"/>
      <c r="W2" s="32"/>
    </row>
    <row r="3" spans="1:23" x14ac:dyDescent="0.2">
      <c r="A3" s="2" t="str">
        <f>"Toimumiskoht: "&amp;(Kalend!F18)</f>
        <v>Toimumiskoht: Voka staadion</v>
      </c>
      <c r="M3" s="32"/>
      <c r="N3" s="598" t="s">
        <v>357</v>
      </c>
      <c r="O3" s="32"/>
      <c r="P3" s="32"/>
      <c r="Q3" s="32"/>
      <c r="R3" s="32"/>
      <c r="S3" s="32"/>
      <c r="T3" s="32"/>
      <c r="U3" s="32"/>
      <c r="V3" s="32"/>
      <c r="W3" s="32"/>
    </row>
    <row r="4" spans="1:23" x14ac:dyDescent="0.2">
      <c r="A4" s="2" t="str">
        <f>"Korraldaja: "&amp;(Kalend!G18)</f>
        <v>Korraldaja: K-Järve SHK, Ivar Viljaste</v>
      </c>
      <c r="M4" s="599" t="s">
        <v>226</v>
      </c>
      <c r="N4" s="600"/>
      <c r="O4" s="600"/>
      <c r="P4" s="600"/>
      <c r="Q4" s="600"/>
      <c r="R4" s="600"/>
      <c r="S4" s="600"/>
      <c r="T4" s="600"/>
      <c r="U4" s="600"/>
      <c r="V4" s="600"/>
      <c r="W4" s="600"/>
    </row>
    <row r="5" spans="1:23" x14ac:dyDescent="0.2">
      <c r="A5" s="55"/>
      <c r="B5" s="55"/>
      <c r="C5" s="55"/>
      <c r="D5" s="55"/>
      <c r="E5" s="55"/>
      <c r="F5" s="55"/>
      <c r="G5" s="55"/>
      <c r="H5" s="55"/>
      <c r="M5" s="599" t="s">
        <v>358</v>
      </c>
      <c r="N5" s="601" t="s">
        <v>359</v>
      </c>
      <c r="O5" s="601"/>
      <c r="P5" s="601" t="s">
        <v>361</v>
      </c>
      <c r="Q5" s="601"/>
      <c r="R5" s="601" t="s">
        <v>362</v>
      </c>
      <c r="S5" s="499"/>
      <c r="T5" s="499" t="s">
        <v>430</v>
      </c>
      <c r="U5" s="499"/>
      <c r="V5" s="499" t="s">
        <v>431</v>
      </c>
      <c r="W5" s="602"/>
    </row>
    <row r="6" spans="1:23" s="506" customFormat="1" x14ac:dyDescent="0.2">
      <c r="A6" s="580" t="s">
        <v>140</v>
      </c>
      <c r="B6" s="581"/>
      <c r="C6" s="501" t="s">
        <v>409</v>
      </c>
      <c r="D6" s="580" t="s">
        <v>410</v>
      </c>
      <c r="E6" s="580" t="s">
        <v>411</v>
      </c>
      <c r="F6" s="501" t="s">
        <v>412</v>
      </c>
      <c r="G6" s="501" t="s">
        <v>26</v>
      </c>
      <c r="H6" s="55"/>
      <c r="M6" s="599" t="s">
        <v>365</v>
      </c>
      <c r="N6" s="600"/>
      <c r="O6" s="600"/>
      <c r="P6" s="507"/>
      <c r="Q6" s="507"/>
      <c r="R6" s="507"/>
      <c r="S6" s="507"/>
      <c r="T6" s="507"/>
      <c r="U6" s="507"/>
      <c r="V6" s="507"/>
      <c r="W6" s="507"/>
    </row>
    <row r="7" spans="1:23" s="506" customFormat="1" x14ac:dyDescent="0.2">
      <c r="A7" s="580">
        <v>1</v>
      </c>
      <c r="B7" s="518" t="s">
        <v>763</v>
      </c>
      <c r="C7" s="582">
        <v>7</v>
      </c>
      <c r="D7" s="582"/>
      <c r="E7" s="510">
        <v>13</v>
      </c>
      <c r="F7" s="224">
        <v>7</v>
      </c>
      <c r="G7" s="510" t="str">
        <f>IF(AND(COUNT(F7:F10)=2,F7=MAX(F7:F10),COUNT(C7:F7)=3),A6&amp;"2",IF(AND(COUNT(E7:E10)=2,ISNUMBER(E7),E7=MIN(E7:E10),D7="",F7=""),A6&amp;"4",IF(AND(COUNT(D7:D10)=2,D7=MAX(D7:D10),E7="",F7=""),A6&amp;"1",IF(COUNT(F7:F10)=2,A6&amp;"3",""))))</f>
        <v>A3</v>
      </c>
      <c r="M7" s="499">
        <f>SUM(O7:W7)</f>
        <v>382</v>
      </c>
      <c r="N7" s="603" t="str">
        <f>IFERROR(LEFT($B7,(FIND(",",$B7,1)-1)),"")</f>
        <v>Peep Peenema</v>
      </c>
      <c r="O7" s="604">
        <f>IFERROR(INDEX(Reit!$I:$I,MATCH(N7,Reit!$F:$F,0)),"")</f>
        <v>34</v>
      </c>
      <c r="P7" s="603" t="str">
        <f>IFERROR(MID($B7,FIND("^",SUBSTITUTE($B7,", ","^",1))+2,FIND("^",SUBSTITUTE($B7,", ","^",2))-FIND("^",SUBSTITUTE($B7,", ","^",1))-2),"")</f>
        <v>Tõnu Kapper</v>
      </c>
      <c r="Q7" s="604">
        <f>IFERROR(INDEX(Reit!$I:$I,MATCH(P7,Reit!$F:$F,0)),"")</f>
        <v>162</v>
      </c>
      <c r="R7" s="603" t="str">
        <f>IFERROR(MID($B7,FIND(", ",$B7,FIND(", ",$B7,FIND(", ",$B7))+1)+2,30000),"")</f>
        <v>Vladimir Ogneštšikov</v>
      </c>
      <c r="S7" s="604">
        <f>IFERROR(INDEX(Reit!$I:$I,MATCH(R7,Reit!$F:$F,0)),"")</f>
        <v>186</v>
      </c>
      <c r="T7" s="605" t="str">
        <f t="shared" ref="T7:T25" si="0">IFERROR(MID($B7,FIND(", ",$B7,FIND(", ",$B7)+1)+2,FIND(", ",$B7,FIND(", ",$B7,FIND(", ",$B7)+1)+1)-FIND(", ",$B7,FIND(", ",$B7)+1)-2),"")</f>
        <v/>
      </c>
      <c r="U7" s="604" t="str">
        <f>IFERROR(INDEX(Reit!$I:$I,MATCH(T7,Reit!$F:$F,0)),"")</f>
        <v/>
      </c>
      <c r="V7" s="603" t="str">
        <f>IFERROR(MID($B7,FIND(", ",$B7,FIND(", ",$B7,FIND(", ",$B7)+1)+1)+2,30000),"")</f>
        <v/>
      </c>
      <c r="W7" s="604" t="str">
        <f>IFERROR(INDEX(Reit!$I:$I,MATCH(V7,Reit!$F:$F,0)),"")</f>
        <v/>
      </c>
    </row>
    <row r="8" spans="1:23" s="506" customFormat="1" x14ac:dyDescent="0.2">
      <c r="A8" s="580">
        <v>2</v>
      </c>
      <c r="B8" s="583" t="s">
        <v>504</v>
      </c>
      <c r="C8" s="584">
        <v>13</v>
      </c>
      <c r="D8" s="582">
        <v>13</v>
      </c>
      <c r="E8" s="510" t="str">
        <f>IF(AND(B10="-",ISNUMBER(C8),C8&lt;C9),13,"")</f>
        <v/>
      </c>
      <c r="F8" s="224"/>
      <c r="G8" s="510" t="str">
        <f>IF(AND(COUNT(F7:F10)=2,F8=MAX(F7:F10),COUNT(C8:F8)=3),A6&amp;"2",IF(AND(COUNT(E7:E10)=2,ISNUMBER(E8),E8=MIN(E7:E10),D8="",F8=""),A6&amp;"4",IF(AND(COUNT(D7:D10)=2,D8=MAX(D7:D10),E8="",F8=""),A6&amp;"1",IF(COUNT(F7:F10)=2,A6&amp;"3",""))))</f>
        <v>A1</v>
      </c>
      <c r="M8" s="499">
        <f t="shared" ref="M8:M34" si="1">SUM(O8:W8)</f>
        <v>808</v>
      </c>
      <c r="N8" s="603" t="str">
        <f t="shared" ref="N8:N34" si="2">IFERROR(LEFT($B8,(FIND(",",$B8,1)-1)),"")</f>
        <v>Boriss Klubov</v>
      </c>
      <c r="O8" s="604">
        <f>IFERROR(INDEX(Reit!$I:$I,MATCH(N8,Reit!$F:$F,0)),"")</f>
        <v>258</v>
      </c>
      <c r="P8" s="603" t="str">
        <f t="shared" ref="P8:P34" si="3">IFERROR(MID($B8,FIND("^",SUBSTITUTE($B8,", ","^",1))+2,FIND("^",SUBSTITUTE($B8,", ","^",2))-FIND("^",SUBSTITUTE($B8,", ","^",1))-2),"")</f>
        <v>Elmo Lageda</v>
      </c>
      <c r="Q8" s="604">
        <f>IFERROR(INDEX(Reit!$I:$I,MATCH(P8,Reit!$F:$F,0)),"")</f>
        <v>282</v>
      </c>
      <c r="R8" s="603" t="str">
        <f t="shared" ref="R8:R34" si="4">IFERROR(MID($B8,FIND(", ",$B8,FIND(", ",$B8,FIND(", ",$B8))+1)+2,30000),"")</f>
        <v>Tõnu Piik</v>
      </c>
      <c r="S8" s="604">
        <f>IFERROR(INDEX(Reit!$I:$I,MATCH(R8,Reit!$F:$F,0)),"")</f>
        <v>268</v>
      </c>
      <c r="T8" s="605" t="str">
        <f t="shared" si="0"/>
        <v/>
      </c>
      <c r="U8" s="604" t="str">
        <f>IFERROR(INDEX(Reit!$I:$I,MATCH(T8,Reit!$F:$F,0)),"")</f>
        <v/>
      </c>
      <c r="V8" s="603" t="str">
        <f t="shared" ref="V8:V34" si="5">IFERROR(MID($B8,FIND(", ",$B8,FIND(", ",$B8,FIND(", ",$B8)+1)+1)+2,30000),"")</f>
        <v/>
      </c>
      <c r="W8" s="604" t="str">
        <f>IFERROR(INDEX(Reit!$I:$I,MATCH(V8,Reit!$F:$F,0)),"")</f>
        <v/>
      </c>
    </row>
    <row r="9" spans="1:23" s="506" customFormat="1" x14ac:dyDescent="0.2">
      <c r="A9" s="580">
        <v>3</v>
      </c>
      <c r="B9" s="583" t="s">
        <v>510</v>
      </c>
      <c r="C9" s="584">
        <v>4</v>
      </c>
      <c r="D9" s="510"/>
      <c r="E9" s="510">
        <v>2</v>
      </c>
      <c r="F9" s="224"/>
      <c r="G9" s="510" t="str">
        <f>IF(AND(COUNT(F7:F10)=2,F9=MAX(F7:F10),COUNT(C9:F9)=3),A6&amp;"2",IF(AND(COUNT(E7:E10)=2,ISNUMBER(E9),E9=MIN(E7:E10),D9="",F9=""),A6&amp;"4",IF(AND(COUNT(D7:D10)=2,D9=MAX(D7:D10),E9="",F9=""),A6&amp;"1",IF(COUNT(F7:F10)=2,A6&amp;"3",""))))</f>
        <v>A4</v>
      </c>
      <c r="M9" s="499">
        <f t="shared" si="1"/>
        <v>148</v>
      </c>
      <c r="N9" s="603" t="str">
        <f t="shared" si="2"/>
        <v>Brigitta Neiland</v>
      </c>
      <c r="O9" s="604">
        <f>IFERROR(INDEX(Reit!$I:$I,MATCH(N9,Reit!$F:$F,0)),"")</f>
        <v>20</v>
      </c>
      <c r="P9" s="603" t="str">
        <f t="shared" si="3"/>
        <v>Einar Juhkam</v>
      </c>
      <c r="Q9" s="604">
        <f>IFERROR(INDEX(Reit!$I:$I,MATCH(P9,Reit!$F:$F,0)),"")</f>
        <v>20</v>
      </c>
      <c r="R9" s="603" t="str">
        <f t="shared" si="4"/>
        <v>Johannes Neiland, Väino Aul</v>
      </c>
      <c r="S9" s="604" t="str">
        <f>IFERROR(INDEX(Reit!$I:$I,MATCH(R9,Reit!$F:$F,0)),"")</f>
        <v/>
      </c>
      <c r="T9" s="605" t="str">
        <f t="shared" si="0"/>
        <v>Johannes Neiland</v>
      </c>
      <c r="U9" s="604">
        <f>IFERROR(INDEX(Reit!$I:$I,MATCH(T9,Reit!$F:$F,0)),"")</f>
        <v>88</v>
      </c>
      <c r="V9" s="603" t="str">
        <f t="shared" si="5"/>
        <v>Väino Aul</v>
      </c>
      <c r="W9" s="604">
        <f>IFERROR(INDEX(Reit!$I:$I,MATCH(V9,Reit!$F:$F,0)),"")</f>
        <v>20</v>
      </c>
    </row>
    <row r="10" spans="1:23" s="506" customFormat="1" x14ac:dyDescent="0.2">
      <c r="A10" s="580">
        <v>4</v>
      </c>
      <c r="B10" s="656" t="s">
        <v>509</v>
      </c>
      <c r="C10" s="582">
        <v>13</v>
      </c>
      <c r="D10" s="582">
        <v>2</v>
      </c>
      <c r="E10" s="510" t="str">
        <f>IF(B10="-",0,"")</f>
        <v/>
      </c>
      <c r="F10" s="224">
        <v>13</v>
      </c>
      <c r="G10" s="510" t="str">
        <f>IF(AND(COUNT(F7:F10)=2,F10=MAX(F7:F10),COUNT(C10:F10)=3),A6&amp;"2",IF(AND(COUNT(E7:E10)=2,ISNUMBER(E10),E10=MIN(E7:E10),D10="",F10=""),A6&amp;"4",IF(AND(COUNT(D7:D10)=2,D10=MAX(D7:D10),E10="",F10=""),A6&amp;"1",IF(COUNT(F7:F10)=2,A6&amp;"3",""))))</f>
        <v>A2</v>
      </c>
      <c r="M10" s="499">
        <f t="shared" si="1"/>
        <v>194</v>
      </c>
      <c r="N10" s="603" t="str">
        <f t="shared" si="2"/>
        <v>Henri Mitt</v>
      </c>
      <c r="O10" s="604">
        <f>IFERROR(INDEX(Reit!$I:$I,MATCH(N10,Reit!$F:$F,0)),"")</f>
        <v>26</v>
      </c>
      <c r="P10" s="603" t="str">
        <f t="shared" si="3"/>
        <v>Karla Purgats</v>
      </c>
      <c r="Q10" s="604">
        <f>IFERROR(INDEX(Reit!$I:$I,MATCH(P10,Reit!$F:$F,0)),"")</f>
        <v>104</v>
      </c>
      <c r="R10" s="603" t="str">
        <f t="shared" si="4"/>
        <v>Urmas Jõeäär</v>
      </c>
      <c r="S10" s="604">
        <f>IFERROR(INDEX(Reit!$I:$I,MATCH(R10,Reit!$F:$F,0)),"")</f>
        <v>64</v>
      </c>
      <c r="T10" s="605" t="str">
        <f t="shared" si="0"/>
        <v/>
      </c>
      <c r="U10" s="604" t="str">
        <f>IFERROR(INDEX(Reit!$I:$I,MATCH(T10,Reit!$F:$F,0)),"")</f>
        <v/>
      </c>
      <c r="V10" s="603" t="str">
        <f t="shared" si="5"/>
        <v/>
      </c>
      <c r="W10" s="604" t="str">
        <f>IFERROR(INDEX(Reit!$I:$I,MATCH(V10,Reit!$F:$F,0)),"")</f>
        <v/>
      </c>
    </row>
    <row r="11" spans="1:23" s="506" customFormat="1" x14ac:dyDescent="0.2">
      <c r="A11" s="32"/>
      <c r="B11" s="586"/>
      <c r="C11" s="32"/>
      <c r="D11" s="32"/>
      <c r="E11" s="32"/>
      <c r="F11" s="32"/>
      <c r="G11" s="586" t="s">
        <v>31</v>
      </c>
      <c r="M11" s="499"/>
      <c r="N11" s="654"/>
      <c r="O11" s="604" t="str">
        <f>IFERROR(INDEX(Reit!$I:$I,MATCH(N11,Reit!$F:$F,0)),"")</f>
        <v/>
      </c>
      <c r="P11" s="600"/>
      <c r="Q11" s="600"/>
      <c r="R11" s="600"/>
      <c r="S11" s="600"/>
      <c r="T11" s="507"/>
      <c r="U11" s="507"/>
      <c r="V11" s="600"/>
      <c r="W11" s="507"/>
    </row>
    <row r="12" spans="1:23" s="506" customFormat="1" x14ac:dyDescent="0.2">
      <c r="A12" s="580" t="s">
        <v>141</v>
      </c>
      <c r="B12" s="581"/>
      <c r="C12" s="501" t="s">
        <v>409</v>
      </c>
      <c r="D12" s="580" t="s">
        <v>410</v>
      </c>
      <c r="E12" s="580" t="s">
        <v>411</v>
      </c>
      <c r="F12" s="501" t="s">
        <v>412</v>
      </c>
      <c r="G12" s="501" t="s">
        <v>26</v>
      </c>
      <c r="M12" s="499"/>
      <c r="N12" s="654"/>
      <c r="O12" s="604" t="str">
        <f>IFERROR(INDEX(Reit!$I:$I,MATCH(N12,Reit!$F:$F,0)),"")</f>
        <v/>
      </c>
      <c r="P12" s="600"/>
      <c r="Q12" s="600"/>
      <c r="R12" s="600"/>
      <c r="S12" s="600"/>
      <c r="T12" s="507"/>
      <c r="U12" s="507"/>
      <c r="V12" s="600"/>
      <c r="W12" s="507"/>
    </row>
    <row r="13" spans="1:23" s="498" customFormat="1" x14ac:dyDescent="0.2">
      <c r="A13" s="580">
        <v>1</v>
      </c>
      <c r="B13" s="508" t="s">
        <v>432</v>
      </c>
      <c r="C13" s="582">
        <v>13</v>
      </c>
      <c r="D13" s="582">
        <v>13</v>
      </c>
      <c r="E13" s="510"/>
      <c r="F13" s="224"/>
      <c r="G13" s="510" t="str">
        <f>IF(AND(COUNT(F13:F16)=2,F13=MAX(F13:F16),COUNT(C13:F13)=3),A12&amp;"2",IF(AND(COUNT(E13:E16)=2,ISNUMBER(E13),E13=MIN(E13:E16),D13="",F13=""),A12&amp;"4",IF(AND(COUNT(D13:D16)=2,D13=MAX(D13:D16),E13="",F13=""),A12&amp;"1",IF(COUNT(F13:F16)=2,A12&amp;"3",""))))</f>
        <v>B1</v>
      </c>
      <c r="H13" s="506"/>
      <c r="I13" s="506"/>
      <c r="M13" s="499">
        <f t="shared" si="1"/>
        <v>728</v>
      </c>
      <c r="N13" s="603" t="str">
        <f t="shared" si="2"/>
        <v>Jaan Sepp</v>
      </c>
      <c r="O13" s="604">
        <f>IFERROR(INDEX(Reit!$I:$I,MATCH(N13,Reit!$F:$F,0)),"")</f>
        <v>243</v>
      </c>
      <c r="P13" s="603" t="str">
        <f t="shared" si="3"/>
        <v>Mait Metsla</v>
      </c>
      <c r="Q13" s="604">
        <f>IFERROR(INDEX(Reit!$I:$I,MATCH(P13,Reit!$F:$F,0)),"")</f>
        <v>241</v>
      </c>
      <c r="R13" s="603" t="str">
        <f t="shared" si="4"/>
        <v>Matti Vinni</v>
      </c>
      <c r="S13" s="604">
        <f>IFERROR(INDEX(Reit!$I:$I,MATCH(R13,Reit!$F:$F,0)),"")</f>
        <v>244</v>
      </c>
      <c r="T13" s="605" t="str">
        <f t="shared" si="0"/>
        <v/>
      </c>
      <c r="U13" s="604" t="str">
        <f>IFERROR(INDEX(Reit!$I:$I,MATCH(T13,Reit!$F:$F,0)),"")</f>
        <v/>
      </c>
      <c r="V13" s="603" t="str">
        <f t="shared" si="5"/>
        <v/>
      </c>
      <c r="W13" s="604" t="str">
        <f>IFERROR(INDEX(Reit!$I:$I,MATCH(V13,Reit!$F:$F,0)),"")</f>
        <v/>
      </c>
    </row>
    <row r="14" spans="1:23" s="498" customFormat="1" x14ac:dyDescent="0.2">
      <c r="A14" s="580">
        <v>2</v>
      </c>
      <c r="B14" s="583" t="s">
        <v>503</v>
      </c>
      <c r="C14" s="584">
        <v>13</v>
      </c>
      <c r="D14" s="582">
        <v>2</v>
      </c>
      <c r="E14" s="510"/>
      <c r="F14" s="224">
        <v>13</v>
      </c>
      <c r="G14" s="510" t="str">
        <f>IF(AND(COUNT(F13:F16)=2,F14=MAX(F13:F16),COUNT(C14:F14)=3),A12&amp;"2",IF(AND(COUNT(E13:E16)=2,ISNUMBER(E14),E14=MIN(E13:E16),D14="",F14=""),A12&amp;"4",IF(AND(COUNT(D13:D16)=2,D14=MAX(D13:D16),E14="",F14=""),A12&amp;"1",IF(COUNT(F13:F16)=2,A12&amp;"3",""))))</f>
        <v>B2</v>
      </c>
      <c r="H14" s="506"/>
      <c r="I14" s="506"/>
      <c r="M14" s="499">
        <f t="shared" si="1"/>
        <v>612.29999999999995</v>
      </c>
      <c r="N14" s="603" t="str">
        <f t="shared" si="2"/>
        <v>Aarne Välja</v>
      </c>
      <c r="O14" s="604">
        <f>IFERROR(INDEX(Reit!$I:$I,MATCH(N14,Reit!$F:$F,0)),"")</f>
        <v>260</v>
      </c>
      <c r="P14" s="603" t="str">
        <f t="shared" si="3"/>
        <v>Janek Tarto</v>
      </c>
      <c r="Q14" s="604">
        <f>IFERROR(INDEX(Reit!$I:$I,MATCH(P14,Reit!$F:$F,0)),"")</f>
        <v>252</v>
      </c>
      <c r="R14" s="603" t="str">
        <f t="shared" si="4"/>
        <v>Romek Tarto</v>
      </c>
      <c r="S14" s="604">
        <f>IFERROR(INDEX(Reit!$I:$I,MATCH(R14,Reit!$F:$F,0)),"")</f>
        <v>100.3</v>
      </c>
      <c r="T14" s="605" t="str">
        <f t="shared" si="0"/>
        <v/>
      </c>
      <c r="U14" s="604" t="str">
        <f>IFERROR(INDEX(Reit!$I:$I,MATCH(T14,Reit!$F:$F,0)),"")</f>
        <v/>
      </c>
      <c r="V14" s="603" t="str">
        <f t="shared" si="5"/>
        <v/>
      </c>
      <c r="W14" s="604" t="str">
        <f>IFERROR(INDEX(Reit!$I:$I,MATCH(V14,Reit!$F:$F,0)),"")</f>
        <v/>
      </c>
    </row>
    <row r="15" spans="1:23" s="498" customFormat="1" x14ac:dyDescent="0.2">
      <c r="A15" s="580">
        <v>3</v>
      </c>
      <c r="B15" s="583" t="s">
        <v>506</v>
      </c>
      <c r="C15" s="584">
        <v>6</v>
      </c>
      <c r="D15" s="510"/>
      <c r="E15" s="510">
        <v>13</v>
      </c>
      <c r="F15" s="224">
        <v>2</v>
      </c>
      <c r="G15" s="510" t="str">
        <f>IF(AND(COUNT(F13:F16)=2,F15=MAX(F13:F16),COUNT(C15:F15)=3),A12&amp;"2",IF(AND(COUNT(E13:E16)=2,ISNUMBER(E15),E15=MIN(E13:E16),D15="",F15=""),A12&amp;"4",IF(AND(COUNT(D13:D16)=2,D15=MAX(D13:D16),E15="",F15=""),A12&amp;"1",IF(COUNT(F13:F16)=2,A12&amp;"3",""))))</f>
        <v>B3</v>
      </c>
      <c r="H15" s="506"/>
      <c r="I15" s="506"/>
      <c r="M15" s="499">
        <f t="shared" si="1"/>
        <v>112</v>
      </c>
      <c r="N15" s="603" t="str">
        <f t="shared" si="2"/>
        <v>Enn Tokman</v>
      </c>
      <c r="O15" s="604">
        <f>IFERROR(INDEX(Reit!$I:$I,MATCH(N15,Reit!$F:$F,0)),"")</f>
        <v>72</v>
      </c>
      <c r="P15" s="603" t="str">
        <f t="shared" si="3"/>
        <v>Jaan Saar</v>
      </c>
      <c r="Q15" s="604">
        <f>IFERROR(INDEX(Reit!$I:$I,MATCH(P15,Reit!$F:$F,0)),"")</f>
        <v>18</v>
      </c>
      <c r="R15" s="603" t="str">
        <f t="shared" si="4"/>
        <v>Tarmo Bombe</v>
      </c>
      <c r="S15" s="604">
        <f>IFERROR(INDEX(Reit!$I:$I,MATCH(R15,Reit!$F:$F,0)),"")</f>
        <v>22</v>
      </c>
      <c r="T15" s="605" t="str">
        <f t="shared" si="0"/>
        <v/>
      </c>
      <c r="U15" s="604" t="str">
        <f>IFERROR(INDEX(Reit!$I:$I,MATCH(T15,Reit!$F:$F,0)),"")</f>
        <v/>
      </c>
      <c r="V15" s="603" t="str">
        <f t="shared" si="5"/>
        <v/>
      </c>
      <c r="W15" s="604" t="str">
        <f>IFERROR(INDEX(Reit!$I:$I,MATCH(V15,Reit!$F:$F,0)),"")</f>
        <v/>
      </c>
    </row>
    <row r="16" spans="1:23" s="498" customFormat="1" x14ac:dyDescent="0.2">
      <c r="A16" s="580">
        <v>4</v>
      </c>
      <c r="B16" s="585" t="s">
        <v>31</v>
      </c>
      <c r="C16" s="582">
        <f>IF(B16="-",0,"")</f>
        <v>0</v>
      </c>
      <c r="D16" s="582"/>
      <c r="E16" s="510">
        <f>IF(B22="-",0,"")</f>
        <v>0</v>
      </c>
      <c r="F16" s="224"/>
      <c r="G16" s="510" t="str">
        <f>IF(AND(COUNT(F13:F16)=2,F16=MAX(F13:F16),COUNT(C16:F16)=3),A12&amp;"2",IF(AND(COUNT(E13:E16)=2,ISNUMBER(E16),E16=MIN(E13:E16),D16="",F16=""),A12&amp;"4",IF(AND(COUNT(D13:D16)=2,D16=MAX(D13:D16),E16="",F16=""),A12&amp;"1",IF(COUNT(F13:F16)=2,A12&amp;"3",""))))</f>
        <v>B4</v>
      </c>
      <c r="M16" s="499">
        <f t="shared" si="1"/>
        <v>0</v>
      </c>
      <c r="N16" s="603" t="str">
        <f t="shared" si="2"/>
        <v/>
      </c>
      <c r="O16" s="604" t="str">
        <f>IFERROR(INDEX(Reit!$I:$I,MATCH(N16,Reit!$F:$F,0)),"")</f>
        <v/>
      </c>
      <c r="P16" s="603" t="str">
        <f t="shared" si="3"/>
        <v/>
      </c>
      <c r="Q16" s="604" t="str">
        <f>IFERROR(INDEX(Reit!$I:$I,MATCH(P16,Reit!$F:$F,0)),"")</f>
        <v/>
      </c>
      <c r="R16" s="603" t="str">
        <f t="shared" si="4"/>
        <v/>
      </c>
      <c r="S16" s="604" t="str">
        <f>IFERROR(INDEX(Reit!$I:$I,MATCH(R16,Reit!$F:$F,0)),"")</f>
        <v/>
      </c>
      <c r="T16" s="605" t="str">
        <f t="shared" si="0"/>
        <v/>
      </c>
      <c r="U16" s="604" t="str">
        <f>IFERROR(INDEX(Reit!$I:$I,MATCH(T16,Reit!$F:$F,0)),"")</f>
        <v/>
      </c>
      <c r="V16" s="603" t="str">
        <f t="shared" si="5"/>
        <v/>
      </c>
      <c r="W16" s="604" t="str">
        <f>IFERROR(INDEX(Reit!$I:$I,MATCH(V16,Reit!$F:$F,0)),"")</f>
        <v/>
      </c>
    </row>
    <row r="17" spans="1:23" s="498" customFormat="1" x14ac:dyDescent="0.2">
      <c r="A17" s="32"/>
      <c r="B17" s="32"/>
      <c r="C17" s="32"/>
      <c r="D17" s="32"/>
      <c r="E17" s="32"/>
      <c r="F17" s="32"/>
      <c r="G17" s="32"/>
      <c r="M17" s="499"/>
      <c r="N17" s="654"/>
      <c r="O17" s="604" t="str">
        <f>IFERROR(INDEX(Reit!$I:$I,MATCH(N17,Reit!$F:$F,0)),"")</f>
        <v/>
      </c>
      <c r="P17" s="600"/>
      <c r="Q17" s="600"/>
      <c r="R17" s="600"/>
      <c r="S17" s="600"/>
      <c r="T17" s="507"/>
      <c r="U17" s="507"/>
      <c r="V17" s="600"/>
      <c r="W17" s="507"/>
    </row>
    <row r="18" spans="1:23" s="498" customFormat="1" x14ac:dyDescent="0.2">
      <c r="A18" s="580" t="s">
        <v>142</v>
      </c>
      <c r="B18" s="581"/>
      <c r="C18" s="501" t="s">
        <v>409</v>
      </c>
      <c r="D18" s="580" t="s">
        <v>410</v>
      </c>
      <c r="E18" s="580" t="s">
        <v>411</v>
      </c>
      <c r="F18" s="501" t="s">
        <v>412</v>
      </c>
      <c r="G18" s="501" t="s">
        <v>26</v>
      </c>
      <c r="H18" s="55"/>
      <c r="M18" s="499"/>
      <c r="N18" s="654"/>
      <c r="O18" s="604" t="str">
        <f>IFERROR(INDEX(Reit!$I:$I,MATCH(N18,Reit!$F:$F,0)),"")</f>
        <v/>
      </c>
      <c r="P18" s="600"/>
      <c r="Q18" s="600"/>
      <c r="R18" s="600"/>
      <c r="S18" s="600"/>
      <c r="T18" s="507"/>
      <c r="U18" s="507"/>
      <c r="V18" s="600"/>
      <c r="W18" s="507"/>
    </row>
    <row r="19" spans="1:23" s="506" customFormat="1" x14ac:dyDescent="0.2">
      <c r="A19" s="580">
        <v>1</v>
      </c>
      <c r="B19" s="177" t="s">
        <v>505</v>
      </c>
      <c r="C19" s="582">
        <v>13</v>
      </c>
      <c r="D19" s="582">
        <v>13</v>
      </c>
      <c r="E19" s="510"/>
      <c r="F19" s="224"/>
      <c r="G19" s="510" t="str">
        <f>IF(AND(COUNT(F19:F22)=2,F19=MAX(F19:F22),COUNT(C19:F19)=3),A18&amp;"2",IF(AND(COUNT(E19:E22)=2,ISNUMBER(E19),E19=MIN(E19:E22),D19="",F19=""),A18&amp;"4",IF(AND(COUNT(D19:D22)=2,D19=MAX(D19:D22),E19="",F19=""),A18&amp;"1",IF(COUNT(F19:F22)=2,A18&amp;"3",""))))</f>
        <v>C1</v>
      </c>
      <c r="H19" s="55"/>
      <c r="M19" s="499">
        <f t="shared" si="1"/>
        <v>466</v>
      </c>
      <c r="N19" s="603" t="str">
        <f t="shared" si="2"/>
        <v>Ivar Viljaste</v>
      </c>
      <c r="O19" s="604">
        <f>IFERROR(INDEX(Reit!$I:$I,MATCH(N19,Reit!$F:$F,0)),"")</f>
        <v>338</v>
      </c>
      <c r="P19" s="603" t="str">
        <f t="shared" si="3"/>
        <v>Meelis Luud</v>
      </c>
      <c r="Q19" s="604">
        <f>IFERROR(INDEX(Reit!$I:$I,MATCH(P19,Reit!$F:$F,0)),"")</f>
        <v>38</v>
      </c>
      <c r="R19" s="603" t="str">
        <f t="shared" si="4"/>
        <v>Sirje Viljaste</v>
      </c>
      <c r="S19" s="604">
        <f>IFERROR(INDEX(Reit!$I:$I,MATCH(R19,Reit!$F:$F,0)),"")</f>
        <v>90</v>
      </c>
      <c r="T19" s="605" t="str">
        <f t="shared" si="0"/>
        <v/>
      </c>
      <c r="U19" s="604" t="str">
        <f>IFERROR(INDEX(Reit!$I:$I,MATCH(T19,Reit!$F:$F,0)),"")</f>
        <v/>
      </c>
      <c r="V19" s="603" t="str">
        <f t="shared" si="5"/>
        <v/>
      </c>
      <c r="W19" s="604" t="str">
        <f>IFERROR(INDEX(Reit!$I:$I,MATCH(V19,Reit!$F:$F,0)),"")</f>
        <v/>
      </c>
    </row>
    <row r="20" spans="1:23" s="498" customFormat="1" x14ac:dyDescent="0.2">
      <c r="A20" s="580">
        <v>2</v>
      </c>
      <c r="B20" s="583" t="s">
        <v>507</v>
      </c>
      <c r="C20" s="584">
        <v>0</v>
      </c>
      <c r="D20" s="582"/>
      <c r="E20" s="510">
        <v>13</v>
      </c>
      <c r="F20" s="224">
        <v>3</v>
      </c>
      <c r="G20" s="510" t="str">
        <f>IF(AND(COUNT(F19:F22)=2,F20=MAX(F19:F22),COUNT(C20:F20)=3),A18&amp;"2",IF(AND(COUNT(E19:E22)=2,ISNUMBER(E20),E20=MIN(E19:E22),D20="",F20=""),A18&amp;"4",IF(AND(COUNT(D19:D22)=2,D20=MAX(D19:D22),E20="",F20=""),A18&amp;"1",IF(COUNT(F19:F22)=2,A18&amp;"3",""))))</f>
        <v>C3</v>
      </c>
      <c r="H20" s="55"/>
      <c r="M20" s="499">
        <f t="shared" si="1"/>
        <v>280</v>
      </c>
      <c r="N20" s="603" t="str">
        <f t="shared" si="2"/>
        <v>Oksana Sažina</v>
      </c>
      <c r="O20" s="604">
        <f>IFERROR(INDEX(Reit!$I:$I,MATCH(N20,Reit!$F:$F,0)),"")</f>
        <v>94</v>
      </c>
      <c r="P20" s="603" t="str">
        <f t="shared" si="3"/>
        <v>Oleg Rõndenkov</v>
      </c>
      <c r="Q20" s="604">
        <f>IFERROR(INDEX(Reit!$I:$I,MATCH(P20,Reit!$F:$F,0)),"")</f>
        <v>172</v>
      </c>
      <c r="R20" s="603" t="str">
        <f t="shared" si="4"/>
        <v>Toomas Tedrekull</v>
      </c>
      <c r="S20" s="604">
        <f>IFERROR(INDEX(Reit!$I:$I,MATCH(R20,Reit!$F:$F,0)),"")</f>
        <v>14</v>
      </c>
      <c r="T20" s="605" t="str">
        <f t="shared" si="0"/>
        <v/>
      </c>
      <c r="U20" s="604" t="str">
        <f>IFERROR(INDEX(Reit!$I:$I,MATCH(T20,Reit!$F:$F,0)),"")</f>
        <v/>
      </c>
      <c r="V20" s="603" t="str">
        <f t="shared" si="5"/>
        <v/>
      </c>
      <c r="W20" s="604" t="str">
        <f>IFERROR(INDEX(Reit!$I:$I,MATCH(V20,Reit!$F:$F,0)),"")</f>
        <v/>
      </c>
    </row>
    <row r="21" spans="1:23" s="498" customFormat="1" x14ac:dyDescent="0.2">
      <c r="A21" s="580">
        <v>3</v>
      </c>
      <c r="B21" s="583" t="s">
        <v>508</v>
      </c>
      <c r="C21" s="584">
        <v>13</v>
      </c>
      <c r="D21" s="510">
        <v>4</v>
      </c>
      <c r="E21" s="510"/>
      <c r="F21" s="224">
        <v>13</v>
      </c>
      <c r="G21" s="510" t="str">
        <f>IF(AND(COUNT(F19:F22)=2,F21=MAX(F19:F22),COUNT(C21:F21)=3),A18&amp;"2",IF(AND(COUNT(E19:E22)=2,ISNUMBER(E21),E21=MIN(E19:E22),D21="",F21=""),A18&amp;"4",IF(AND(COUNT(D19:D22)=2,D21=MAX(D19:D22),E21="",F21=""),A18&amp;"1",IF(COUNT(F19:F22)=2,A18&amp;"3",""))))</f>
        <v>C2</v>
      </c>
      <c r="H21" s="55"/>
      <c r="M21" s="499">
        <f t="shared" si="1"/>
        <v>219.3</v>
      </c>
      <c r="N21" s="603" t="str">
        <f t="shared" si="2"/>
        <v>Andres Veski</v>
      </c>
      <c r="O21" s="604">
        <f>IFERROR(INDEX(Reit!$I:$I,MATCH(N21,Reit!$F:$F,0)),"")</f>
        <v>62</v>
      </c>
      <c r="P21" s="603" t="str">
        <f t="shared" si="3"/>
        <v>Kenneth Muusikus</v>
      </c>
      <c r="Q21" s="604">
        <f>IFERROR(INDEX(Reit!$I:$I,MATCH(P21,Reit!$F:$F,0)),"")</f>
        <v>115.3</v>
      </c>
      <c r="R21" s="603" t="str">
        <f t="shared" si="4"/>
        <v>Svetlana Veski</v>
      </c>
      <c r="S21" s="604">
        <f>IFERROR(INDEX(Reit!$I:$I,MATCH(R21,Reit!$F:$F,0)),"")</f>
        <v>42</v>
      </c>
      <c r="T21" s="605" t="str">
        <f t="shared" si="0"/>
        <v/>
      </c>
      <c r="U21" s="604" t="str">
        <f>IFERROR(INDEX(Reit!$I:$I,MATCH(T21,Reit!$F:$F,0)),"")</f>
        <v/>
      </c>
      <c r="V21" s="603" t="str">
        <f t="shared" si="5"/>
        <v/>
      </c>
      <c r="W21" s="604" t="str">
        <f>IFERROR(INDEX(Reit!$I:$I,MATCH(V21,Reit!$F:$F,0)),"")</f>
        <v/>
      </c>
    </row>
    <row r="22" spans="1:23" s="498" customFormat="1" x14ac:dyDescent="0.2">
      <c r="A22" s="580">
        <v>4</v>
      </c>
      <c r="B22" s="585" t="s">
        <v>31</v>
      </c>
      <c r="C22" s="582">
        <f>IF(B22="-",0,"")</f>
        <v>0</v>
      </c>
      <c r="D22" s="582"/>
      <c r="E22" s="510">
        <f>IF(B22="-",0,"")</f>
        <v>0</v>
      </c>
      <c r="F22" s="224"/>
      <c r="G22" s="510" t="str">
        <f>IF(AND(COUNT(F19:F22)=2,F22=MAX(F19:F22),COUNT(C22:F22)=3),A18&amp;"2",IF(AND(COUNT(E19:E22)=2,ISNUMBER(E22),E22=MIN(E19:E22),D22="",F22=""),A18&amp;"4",IF(AND(COUNT(D19:D22)=2,D22=MAX(D19:D22),E22="",F22=""),A18&amp;"1",IF(COUNT(F19:F22)=2,A18&amp;"3",""))))</f>
        <v>C4</v>
      </c>
      <c r="H22" s="55"/>
      <c r="M22" s="499">
        <f t="shared" si="1"/>
        <v>0</v>
      </c>
      <c r="N22" s="603" t="str">
        <f t="shared" si="2"/>
        <v/>
      </c>
      <c r="O22" s="604" t="str">
        <f>IFERROR(INDEX(Reit!$I:$I,MATCH(N22,Reit!$F:$F,0)),"")</f>
        <v/>
      </c>
      <c r="P22" s="603" t="str">
        <f t="shared" si="3"/>
        <v/>
      </c>
      <c r="Q22" s="604" t="str">
        <f>IFERROR(INDEX(Reit!$I:$I,MATCH(P22,Reit!$F:$F,0)),"")</f>
        <v/>
      </c>
      <c r="R22" s="603" t="str">
        <f t="shared" si="4"/>
        <v/>
      </c>
      <c r="S22" s="604" t="str">
        <f>IFERROR(INDEX(Reit!$I:$I,MATCH(R22,Reit!$F:$F,0)),"")</f>
        <v/>
      </c>
      <c r="T22" s="605" t="str">
        <f t="shared" si="0"/>
        <v/>
      </c>
      <c r="U22" s="604" t="str">
        <f>IFERROR(INDEX(Reit!$I:$I,MATCH(T22,Reit!$F:$F,0)),"")</f>
        <v/>
      </c>
      <c r="V22" s="603" t="str">
        <f t="shared" si="5"/>
        <v/>
      </c>
      <c r="W22" s="604" t="str">
        <f>IFERROR(INDEX(Reit!$I:$I,MATCH(V22,Reit!$F:$F,0)),"")</f>
        <v/>
      </c>
    </row>
    <row r="23" spans="1:23" s="498" customFormat="1" hidden="1" x14ac:dyDescent="0.2">
      <c r="A23" s="32"/>
      <c r="B23" s="32"/>
      <c r="C23" s="32"/>
      <c r="D23" s="32"/>
      <c r="E23" s="32"/>
      <c r="F23" s="32"/>
      <c r="G23" s="32"/>
      <c r="H23" s="55"/>
      <c r="M23" s="499"/>
      <c r="N23" s="654"/>
      <c r="O23" s="600"/>
      <c r="P23" s="600"/>
      <c r="Q23" s="600"/>
      <c r="R23" s="600"/>
      <c r="S23" s="600"/>
      <c r="T23" s="507"/>
      <c r="U23" s="507"/>
      <c r="V23" s="600"/>
      <c r="W23" s="507"/>
    </row>
    <row r="24" spans="1:23" s="498" customFormat="1" hidden="1" x14ac:dyDescent="0.2">
      <c r="A24" s="580" t="s">
        <v>143</v>
      </c>
      <c r="B24" s="581"/>
      <c r="C24" s="501" t="s">
        <v>409</v>
      </c>
      <c r="D24" s="580" t="s">
        <v>410</v>
      </c>
      <c r="E24" s="580" t="s">
        <v>411</v>
      </c>
      <c r="F24" s="501" t="s">
        <v>412</v>
      </c>
      <c r="G24" s="501" t="s">
        <v>26</v>
      </c>
      <c r="H24" s="55"/>
      <c r="M24" s="499"/>
      <c r="N24" s="654"/>
      <c r="O24" s="600"/>
      <c r="P24" s="600"/>
      <c r="Q24" s="600"/>
      <c r="R24" s="600"/>
      <c r="S24" s="600"/>
      <c r="T24" s="507"/>
      <c r="U24" s="507"/>
      <c r="V24" s="600"/>
      <c r="W24" s="507"/>
    </row>
    <row r="25" spans="1:23" s="498" customFormat="1" hidden="1" x14ac:dyDescent="0.2">
      <c r="A25" s="580">
        <v>1</v>
      </c>
      <c r="B25" s="177"/>
      <c r="C25" s="582" t="str">
        <f>IF(B28="-",13,"")</f>
        <v/>
      </c>
      <c r="D25" s="582"/>
      <c r="E25" s="510"/>
      <c r="F25" s="224"/>
      <c r="G25" s="510" t="str">
        <f>IF(AND(COUNT(F25:F28)=2,F25=MAX(F25:F28),COUNT(C25:F25)=3),A24&amp;"2",IF(AND(COUNT(E25:E28)=2,ISNUMBER(E25),E25=MIN(E25:E28),D25="",F25=""),A24&amp;"4",IF(AND(COUNT(D25:D28)=2,D25=MAX(D25:D28),E25="",F25=""),A24&amp;"1",IF(COUNT(F25:F28)=2,A24&amp;"3",""))))</f>
        <v/>
      </c>
      <c r="H25" s="55"/>
      <c r="M25" s="499">
        <f t="shared" si="1"/>
        <v>0</v>
      </c>
      <c r="N25" s="603" t="str">
        <f t="shared" si="2"/>
        <v/>
      </c>
      <c r="O25" s="604" t="str">
        <f>IFERROR(INDEX(Reit!$I:$I,MATCH(N25,Reit!$F:$F,0)),"")</f>
        <v/>
      </c>
      <c r="P25" s="603" t="str">
        <f t="shared" si="3"/>
        <v/>
      </c>
      <c r="Q25" s="604" t="str">
        <f>IFERROR(INDEX(Reit!$I:$I,MATCH(P25,Reit!$F:$F,0)),"")</f>
        <v/>
      </c>
      <c r="R25" s="603" t="str">
        <f t="shared" si="4"/>
        <v/>
      </c>
      <c r="S25" s="604" t="str">
        <f>IFERROR(INDEX(Reit!$I:$I,MATCH(R25,Reit!$F:$F,0)),"")</f>
        <v/>
      </c>
      <c r="T25" s="605" t="str">
        <f t="shared" si="0"/>
        <v/>
      </c>
      <c r="U25" s="604" t="str">
        <f>IFERROR(INDEX(Reit!$I:$I,MATCH(T25,Reit!$F:$F,0)),"")</f>
        <v/>
      </c>
      <c r="V25" s="603" t="str">
        <f t="shared" si="5"/>
        <v/>
      </c>
      <c r="W25" s="604" t="str">
        <f>IFERROR(INDEX(Reit!$I:$I,MATCH(V25,Reit!$F:$F,0)),"")</f>
        <v/>
      </c>
    </row>
    <row r="26" spans="1:23" s="498" customFormat="1" hidden="1" x14ac:dyDescent="0.2">
      <c r="A26" s="580">
        <v>2</v>
      </c>
      <c r="B26" s="583"/>
      <c r="C26" s="584"/>
      <c r="D26" s="582"/>
      <c r="E26" s="510" t="str">
        <f>IF(AND(B28="-",ISNUMBER(C26),C26&lt;C27),13,"")</f>
        <v/>
      </c>
      <c r="F26" s="224"/>
      <c r="G26" s="510" t="str">
        <f>IF(AND(COUNT(F25:F28)=2,F26=MAX(F25:F28),COUNT(C26:F26)=3),A24&amp;"2",IF(AND(COUNT(E25:E28)=2,ISNUMBER(E26),E26=MIN(E25:E28),D26="",F26=""),A24&amp;"4",IF(AND(COUNT(D25:D28)=2,D26=MAX(D25:D28),E26="",F26=""),A24&amp;"1",IF(COUNT(F25:F28)=2,A24&amp;"3",""))))</f>
        <v/>
      </c>
      <c r="H26" s="55"/>
      <c r="M26" s="499">
        <f t="shared" si="1"/>
        <v>0</v>
      </c>
      <c r="N26" s="603" t="str">
        <f t="shared" si="2"/>
        <v/>
      </c>
      <c r="O26" s="604" t="str">
        <f>IFERROR(INDEX(Reit!$I:$I,MATCH(N26,Reit!$F:$F,0)),"")</f>
        <v/>
      </c>
      <c r="P26" s="603" t="str">
        <f t="shared" si="3"/>
        <v/>
      </c>
      <c r="Q26" s="604" t="str">
        <f>IFERROR(INDEX(Reit!$I:$I,MATCH(P26,Reit!$F:$F,0)),"")</f>
        <v/>
      </c>
      <c r="R26" s="603" t="str">
        <f t="shared" si="4"/>
        <v/>
      </c>
      <c r="S26" s="604" t="str">
        <f>IFERROR(INDEX(Reit!$I:$I,MATCH(R26,Reit!$F:$F,0)),"")</f>
        <v/>
      </c>
      <c r="T26" s="605" t="str">
        <f>IFERROR(MID($B26,FIND(", ",$B26,FIND(", ",$B26)+1)+2,FIND(", ",$B26,FIND(", ",$B26,FIND(", ",$B26)+1)+1)-FIND(", ",$B26,FIND(", ",$B26)+1)-2),"")</f>
        <v/>
      </c>
      <c r="U26" s="604" t="str">
        <f>IFERROR(INDEX(Reit!$I:$I,MATCH(T26,Reit!$F:$F,0)),"")</f>
        <v/>
      </c>
      <c r="V26" s="603" t="str">
        <f t="shared" si="5"/>
        <v/>
      </c>
      <c r="W26" s="604" t="str">
        <f>IFERROR(INDEX(Reit!$I:$I,MATCH(V26,Reit!$F:$F,0)),"")</f>
        <v/>
      </c>
    </row>
    <row r="27" spans="1:23" s="506" customFormat="1" hidden="1" x14ac:dyDescent="0.2">
      <c r="A27" s="580">
        <v>3</v>
      </c>
      <c r="B27" s="583"/>
      <c r="C27" s="584"/>
      <c r="D27" s="510"/>
      <c r="E27" s="510" t="str">
        <f>IF(AND(B28="-",ISNUMBER(C27),C27&lt;C26),13,"")</f>
        <v/>
      </c>
      <c r="F27" s="224"/>
      <c r="G27" s="510" t="str">
        <f>IF(AND(COUNT(F25:F28)=2,F27=MAX(F25:F28),COUNT(C27:F27)=3),A24&amp;"2",IF(AND(COUNT(E25:E28)=2,ISNUMBER(E27),E27=MIN(E25:E28),D27="",F27=""),A24&amp;"4",IF(AND(COUNT(D25:D28)=2,D27=MAX(D25:D28),E27="",F27=""),A24&amp;"1",IF(COUNT(F25:F28)=2,A24&amp;"3",""))))</f>
        <v/>
      </c>
      <c r="H27" s="55"/>
      <c r="M27" s="499">
        <f t="shared" si="1"/>
        <v>0</v>
      </c>
      <c r="N27" s="603" t="str">
        <f t="shared" si="2"/>
        <v/>
      </c>
      <c r="O27" s="604" t="str">
        <f>IFERROR(INDEX(Reit!$I:$I,MATCH(N27,Reit!$F:$F,0)),"")</f>
        <v/>
      </c>
      <c r="P27" s="603" t="str">
        <f t="shared" si="3"/>
        <v/>
      </c>
      <c r="Q27" s="604" t="str">
        <f>IFERROR(INDEX(Reit!$I:$I,MATCH(P27,Reit!$F:$F,0)),"")</f>
        <v/>
      </c>
      <c r="R27" s="603" t="str">
        <f t="shared" si="4"/>
        <v/>
      </c>
      <c r="S27" s="604" t="str">
        <f>IFERROR(INDEX(Reit!$I:$I,MATCH(R27,Reit!$F:$F,0)),"")</f>
        <v/>
      </c>
      <c r="T27" s="605" t="str">
        <f t="shared" ref="T27:T34" si="6">IFERROR(MID($B27,FIND(", ",$B27,FIND(", ",$B27)+1)+2,FIND(", ",$B27,FIND(", ",$B27,FIND(", ",$B27)+1)+1)-FIND(", ",$B27,FIND(", ",$B27)+1)-2),"")</f>
        <v/>
      </c>
      <c r="U27" s="604" t="str">
        <f>IFERROR(INDEX(Reit!$I:$I,MATCH(T27,Reit!$F:$F,0)),"")</f>
        <v/>
      </c>
      <c r="V27" s="603" t="str">
        <f t="shared" si="5"/>
        <v/>
      </c>
      <c r="W27" s="604" t="str">
        <f>IFERROR(INDEX(Reit!$I:$I,MATCH(V27,Reit!$F:$F,0)),"")</f>
        <v/>
      </c>
    </row>
    <row r="28" spans="1:23" s="506" customFormat="1" hidden="1" x14ac:dyDescent="0.2">
      <c r="A28" s="580">
        <v>4</v>
      </c>
      <c r="B28" s="585"/>
      <c r="C28" s="582" t="str">
        <f>IF(B28="-",0,"")</f>
        <v/>
      </c>
      <c r="D28" s="582"/>
      <c r="E28" s="510" t="str">
        <f>IF(B28="-",0,"")</f>
        <v/>
      </c>
      <c r="F28" s="224"/>
      <c r="G28" s="510" t="str">
        <f>IF(AND(COUNT(F25:F28)=2,F28=MAX(F25:F28),COUNT(C28:F28)=3),A24&amp;"2",IF(AND(COUNT(E25:E28)=2,ISNUMBER(E28),E28=MIN(E25:E28),D28="",F28=""),A24&amp;"4",IF(AND(COUNT(D25:D28)=2,D28=MAX(D25:D28),E28="",F28=""),A24&amp;"1",IF(COUNT(F25:F28)=2,A24&amp;"3",""))))</f>
        <v/>
      </c>
      <c r="H28" s="55"/>
      <c r="M28" s="499">
        <f t="shared" si="1"/>
        <v>0</v>
      </c>
      <c r="N28" s="603" t="str">
        <f t="shared" si="2"/>
        <v/>
      </c>
      <c r="O28" s="604" t="str">
        <f>IFERROR(INDEX(Reit!$I:$I,MATCH(N28,Reit!$F:$F,0)),"")</f>
        <v/>
      </c>
      <c r="P28" s="603" t="str">
        <f t="shared" si="3"/>
        <v/>
      </c>
      <c r="Q28" s="604" t="str">
        <f>IFERROR(INDEX(Reit!$I:$I,MATCH(P28,Reit!$F:$F,0)),"")</f>
        <v/>
      </c>
      <c r="R28" s="603" t="str">
        <f t="shared" si="4"/>
        <v/>
      </c>
      <c r="S28" s="604" t="str">
        <f>IFERROR(INDEX(Reit!$I:$I,MATCH(R28,Reit!$F:$F,0)),"")</f>
        <v/>
      </c>
      <c r="T28" s="605" t="str">
        <f t="shared" si="6"/>
        <v/>
      </c>
      <c r="U28" s="604" t="str">
        <f>IFERROR(INDEX(Reit!$I:$I,MATCH(T28,Reit!$F:$F,0)),"")</f>
        <v/>
      </c>
      <c r="V28" s="603" t="str">
        <f t="shared" si="5"/>
        <v/>
      </c>
      <c r="W28" s="604" t="str">
        <f>IFERROR(INDEX(Reit!$I:$I,MATCH(V28,Reit!$F:$F,0)),"")</f>
        <v/>
      </c>
    </row>
    <row r="29" spans="1:23" s="506" customFormat="1" hidden="1" x14ac:dyDescent="0.2">
      <c r="A29" s="55"/>
      <c r="B29" s="55"/>
      <c r="C29" s="55"/>
      <c r="D29" s="55"/>
      <c r="E29" s="55"/>
      <c r="F29" s="55"/>
      <c r="G29" s="55"/>
      <c r="H29" s="55"/>
      <c r="M29" s="499"/>
      <c r="N29" s="654"/>
      <c r="O29" s="655"/>
      <c r="P29" s="655"/>
      <c r="Q29" s="655"/>
      <c r="R29" s="655"/>
      <c r="S29" s="655"/>
      <c r="T29" s="655"/>
      <c r="U29" s="507"/>
      <c r="V29" s="600"/>
      <c r="W29" s="507"/>
    </row>
    <row r="30" spans="1:23" s="506" customFormat="1" hidden="1" x14ac:dyDescent="0.2">
      <c r="M30" s="499"/>
      <c r="N30" s="654"/>
      <c r="O30" s="655"/>
      <c r="P30" s="655"/>
      <c r="Q30" s="655"/>
      <c r="R30" s="655"/>
      <c r="S30" s="655"/>
      <c r="T30" s="655"/>
      <c r="U30" s="507"/>
      <c r="V30" s="600"/>
      <c r="W30" s="507"/>
    </row>
    <row r="31" spans="1:23" s="506" customFormat="1" hidden="1" x14ac:dyDescent="0.2">
      <c r="M31" s="499">
        <f t="shared" si="1"/>
        <v>0</v>
      </c>
      <c r="N31" s="603" t="str">
        <f t="shared" si="2"/>
        <v/>
      </c>
      <c r="O31" s="604" t="str">
        <f>IFERROR(INDEX(Reit!$I:$I,MATCH(N31,Reit!$F:$F,0)),"")</f>
        <v/>
      </c>
      <c r="P31" s="603" t="str">
        <f t="shared" si="3"/>
        <v/>
      </c>
      <c r="Q31" s="604" t="str">
        <f>IFERROR(INDEX(Reit!$I:$I,MATCH(P31,Reit!$F:$F,0)),"")</f>
        <v/>
      </c>
      <c r="R31" s="603" t="str">
        <f t="shared" si="4"/>
        <v/>
      </c>
      <c r="S31" s="604" t="str">
        <f>IFERROR(INDEX(Reit!$I:$I,MATCH(R31,Reit!$F:$F,0)),"")</f>
        <v/>
      </c>
      <c r="T31" s="605" t="str">
        <f t="shared" si="6"/>
        <v/>
      </c>
      <c r="U31" s="604" t="str">
        <f>IFERROR(INDEX(Reit!$I:$I,MATCH(T31,Reit!$F:$F,0)),"")</f>
        <v/>
      </c>
      <c r="V31" s="603" t="str">
        <f t="shared" si="5"/>
        <v/>
      </c>
      <c r="W31" s="604" t="str">
        <f>IFERROR(INDEX(Reit!$I:$I,MATCH(V31,Reit!$F:$F,0)),"")</f>
        <v/>
      </c>
    </row>
    <row r="32" spans="1:23" s="506" customFormat="1" hidden="1" x14ac:dyDescent="0.2">
      <c r="M32" s="499">
        <f t="shared" si="1"/>
        <v>0</v>
      </c>
      <c r="N32" s="603" t="str">
        <f t="shared" si="2"/>
        <v/>
      </c>
      <c r="O32" s="604" t="str">
        <f>IFERROR(INDEX(Reit!$I:$I,MATCH(N32,Reit!$F:$F,0)),"")</f>
        <v/>
      </c>
      <c r="P32" s="603" t="str">
        <f t="shared" si="3"/>
        <v/>
      </c>
      <c r="Q32" s="604" t="str">
        <f>IFERROR(INDEX(Reit!$I:$I,MATCH(P32,Reit!$F:$F,0)),"")</f>
        <v/>
      </c>
      <c r="R32" s="603" t="str">
        <f t="shared" si="4"/>
        <v/>
      </c>
      <c r="S32" s="604" t="str">
        <f>IFERROR(INDEX(Reit!$I:$I,MATCH(R32,Reit!$F:$F,0)),"")</f>
        <v/>
      </c>
      <c r="T32" s="605" t="str">
        <f t="shared" si="6"/>
        <v/>
      </c>
      <c r="U32" s="604" t="str">
        <f>IFERROR(INDEX(Reit!$I:$I,MATCH(T32,Reit!$F:$F,0)),"")</f>
        <v/>
      </c>
      <c r="V32" s="603" t="str">
        <f t="shared" si="5"/>
        <v/>
      </c>
      <c r="W32" s="604" t="str">
        <f>IFERROR(INDEX(Reit!$I:$I,MATCH(V32,Reit!$F:$F,0)),"")</f>
        <v/>
      </c>
    </row>
    <row r="33" spans="13:23" s="506" customFormat="1" hidden="1" x14ac:dyDescent="0.2">
      <c r="M33" s="499">
        <f t="shared" si="1"/>
        <v>0</v>
      </c>
      <c r="N33" s="603" t="str">
        <f t="shared" si="2"/>
        <v/>
      </c>
      <c r="O33" s="604" t="str">
        <f>IFERROR(INDEX(Reit!$I:$I,MATCH(N33,Reit!$F:$F,0)),"")</f>
        <v/>
      </c>
      <c r="P33" s="603" t="str">
        <f t="shared" si="3"/>
        <v/>
      </c>
      <c r="Q33" s="604" t="str">
        <f>IFERROR(INDEX(Reit!$I:$I,MATCH(P33,Reit!$F:$F,0)),"")</f>
        <v/>
      </c>
      <c r="R33" s="603" t="str">
        <f t="shared" si="4"/>
        <v/>
      </c>
      <c r="S33" s="604" t="str">
        <f>IFERROR(INDEX(Reit!$I:$I,MATCH(R33,Reit!$F:$F,0)),"")</f>
        <v/>
      </c>
      <c r="T33" s="605" t="str">
        <f t="shared" si="6"/>
        <v/>
      </c>
      <c r="U33" s="604" t="str">
        <f>IFERROR(INDEX(Reit!$I:$I,MATCH(T33,Reit!$F:$F,0)),"")</f>
        <v/>
      </c>
      <c r="V33" s="603" t="str">
        <f t="shared" si="5"/>
        <v/>
      </c>
      <c r="W33" s="604" t="str">
        <f>IFERROR(INDEX(Reit!$I:$I,MATCH(V33,Reit!$F:$F,0)),"")</f>
        <v/>
      </c>
    </row>
    <row r="34" spans="13:23" s="506" customFormat="1" hidden="1" x14ac:dyDescent="0.2">
      <c r="M34" s="499">
        <f t="shared" si="1"/>
        <v>0</v>
      </c>
      <c r="N34" s="603" t="str">
        <f t="shared" si="2"/>
        <v/>
      </c>
      <c r="O34" s="604" t="str">
        <f>IFERROR(INDEX(Reit!$I:$I,MATCH(N34,Reit!$F:$F,0)),"")</f>
        <v/>
      </c>
      <c r="P34" s="603" t="str">
        <f t="shared" si="3"/>
        <v/>
      </c>
      <c r="Q34" s="604" t="str">
        <f>IFERROR(INDEX(Reit!$I:$I,MATCH(P34,Reit!$F:$F,0)),"")</f>
        <v/>
      </c>
      <c r="R34" s="603" t="str">
        <f t="shared" si="4"/>
        <v/>
      </c>
      <c r="S34" s="604" t="str">
        <f>IFERROR(INDEX(Reit!$I:$I,MATCH(R34,Reit!$F:$F,0)),"")</f>
        <v/>
      </c>
      <c r="T34" s="605" t="str">
        <f t="shared" si="6"/>
        <v/>
      </c>
      <c r="U34" s="604" t="str">
        <f>IFERROR(INDEX(Reit!$I:$I,MATCH(T34,Reit!$F:$F,0)),"")</f>
        <v/>
      </c>
      <c r="V34" s="603" t="str">
        <f t="shared" si="5"/>
        <v/>
      </c>
      <c r="W34" s="604" t="str">
        <f>IFERROR(INDEX(Reit!$I:$I,MATCH(V34,Reit!$F:$F,0)),"")</f>
        <v/>
      </c>
    </row>
    <row r="35" spans="13:23" s="506" customFormat="1" hidden="1" x14ac:dyDescent="0.2"/>
    <row r="36" spans="13:23" s="506" customFormat="1" hidden="1" x14ac:dyDescent="0.2"/>
    <row r="37" spans="13:23" s="506" customFormat="1" hidden="1" x14ac:dyDescent="0.2"/>
    <row r="38" spans="13:23" s="506" customFormat="1" hidden="1" x14ac:dyDescent="0.2"/>
    <row r="39" spans="13:23" s="506" customFormat="1" hidden="1" x14ac:dyDescent="0.2"/>
    <row r="40" spans="13:23" s="506" customFormat="1" hidden="1" x14ac:dyDescent="0.2"/>
    <row r="41" spans="13:23" s="498" customFormat="1" hidden="1" x14ac:dyDescent="0.2"/>
    <row r="42" spans="13:23" s="498" customFormat="1" hidden="1" x14ac:dyDescent="0.2"/>
    <row r="43" spans="13:23" s="498" customFormat="1" hidden="1" x14ac:dyDescent="0.2"/>
    <row r="44" spans="13:23" s="498" customFormat="1" hidden="1" x14ac:dyDescent="0.2"/>
    <row r="45" spans="13:23" s="498" customFormat="1" hidden="1" x14ac:dyDescent="0.2"/>
    <row r="46" spans="13:23" s="498" customFormat="1" hidden="1" x14ac:dyDescent="0.2"/>
    <row r="47" spans="13:23" s="506" customFormat="1" hidden="1" x14ac:dyDescent="0.2"/>
    <row r="48" spans="13:23" s="498" customFormat="1" hidden="1" x14ac:dyDescent="0.2"/>
    <row r="49" s="498" customFormat="1" hidden="1" x14ac:dyDescent="0.2"/>
    <row r="50" s="498" customFormat="1" hidden="1" x14ac:dyDescent="0.2"/>
    <row r="51" s="498" customFormat="1" hidden="1" x14ac:dyDescent="0.2"/>
    <row r="52" s="498" customFormat="1" hidden="1" x14ac:dyDescent="0.2"/>
    <row r="53" s="498" customFormat="1" hidden="1" x14ac:dyDescent="0.2"/>
    <row r="54" s="498" customFormat="1" hidden="1" x14ac:dyDescent="0.2"/>
    <row r="55" s="506" customFormat="1" hidden="1" x14ac:dyDescent="0.2"/>
    <row r="56" s="506" customFormat="1" hidden="1" x14ac:dyDescent="0.2"/>
    <row r="57" s="506" customFormat="1" hidden="1" x14ac:dyDescent="0.2"/>
    <row r="58" s="506" customFormat="1" hidden="1" x14ac:dyDescent="0.2"/>
    <row r="59" s="506" customFormat="1" hidden="1" x14ac:dyDescent="0.2"/>
    <row r="60" s="506" customFormat="1" hidden="1" x14ac:dyDescent="0.2"/>
    <row r="61" s="55" customFormat="1" hidden="1" x14ac:dyDescent="0.2"/>
    <row r="62" s="55" customFormat="1" hidden="1" x14ac:dyDescent="0.2"/>
    <row r="63" s="55" customFormat="1" hidden="1" x14ac:dyDescent="0.2"/>
    <row r="64" s="55" customFormat="1" hidden="1" x14ac:dyDescent="0.2"/>
    <row r="65" s="55" customFormat="1" hidden="1" x14ac:dyDescent="0.2"/>
    <row r="66" s="55" customFormat="1" hidden="1" x14ac:dyDescent="0.2"/>
    <row r="67" s="55" customFormat="1" hidden="1" x14ac:dyDescent="0.2"/>
    <row r="68" s="55" customFormat="1" hidden="1" x14ac:dyDescent="0.2"/>
    <row r="69" s="55" customFormat="1" hidden="1" x14ac:dyDescent="0.2"/>
    <row r="70" s="55" customFormat="1" hidden="1" x14ac:dyDescent="0.2"/>
    <row r="71" s="55" customFormat="1" hidden="1" x14ac:dyDescent="0.2"/>
    <row r="72" s="55" customFormat="1" hidden="1" x14ac:dyDescent="0.2"/>
    <row r="73" s="55" customFormat="1" hidden="1" x14ac:dyDescent="0.2"/>
    <row r="74" s="55" customFormat="1" hidden="1" x14ac:dyDescent="0.2"/>
    <row r="75" s="55" customFormat="1" hidden="1" x14ac:dyDescent="0.2"/>
    <row r="76" s="55" customFormat="1" hidden="1" x14ac:dyDescent="0.2"/>
    <row r="77" s="55" customFormat="1" hidden="1" x14ac:dyDescent="0.2"/>
    <row r="78" s="55" customFormat="1" hidden="1" x14ac:dyDescent="0.2"/>
    <row r="79" s="55" customFormat="1" hidden="1" x14ac:dyDescent="0.2"/>
    <row r="80" s="55" customFormat="1" hidden="1" x14ac:dyDescent="0.2"/>
    <row r="81" spans="1:9" s="55" customFormat="1" hidden="1" x14ac:dyDescent="0.2"/>
    <row r="82" spans="1:9" s="55" customFormat="1" hidden="1" x14ac:dyDescent="0.2"/>
    <row r="83" spans="1:9" s="55" customFormat="1" hidden="1" x14ac:dyDescent="0.2"/>
    <row r="84" spans="1:9" s="55" customFormat="1" hidden="1" x14ac:dyDescent="0.2"/>
    <row r="85" spans="1:9" s="55" customFormat="1" hidden="1" x14ac:dyDescent="0.2"/>
    <row r="86" spans="1:9" s="55" customFormat="1" hidden="1" x14ac:dyDescent="0.2"/>
    <row r="87" spans="1:9" s="55" customFormat="1" hidden="1" x14ac:dyDescent="0.2"/>
    <row r="88" spans="1:9" s="55" customFormat="1" hidden="1" x14ac:dyDescent="0.2"/>
    <row r="89" spans="1:9" s="55" customFormat="1" hidden="1" x14ac:dyDescent="0.2"/>
    <row r="90" spans="1:9" s="55" customFormat="1" hidden="1" x14ac:dyDescent="0.2"/>
    <row r="91" spans="1:9" s="55" customFormat="1" hidden="1" x14ac:dyDescent="0.2"/>
    <row r="92" spans="1:9" s="55" customFormat="1" hidden="1" x14ac:dyDescent="0.2">
      <c r="A92" s="32"/>
      <c r="B92" s="32"/>
      <c r="C92" s="32"/>
      <c r="D92" s="32"/>
      <c r="E92" s="32"/>
      <c r="F92" s="32"/>
      <c r="G92" s="32"/>
      <c r="H92" s="32"/>
      <c r="I92" s="32"/>
    </row>
    <row r="93" spans="1:9" s="55" customFormat="1" hidden="1" x14ac:dyDescent="0.2">
      <c r="A93" s="32"/>
      <c r="B93" s="32"/>
      <c r="C93" s="32"/>
      <c r="D93" s="32"/>
      <c r="E93" s="32"/>
      <c r="F93" s="32"/>
      <c r="G93" s="32"/>
      <c r="H93" s="32"/>
      <c r="I93" s="32"/>
    </row>
    <row r="94" spans="1:9" s="55" customFormat="1" hidden="1" x14ac:dyDescent="0.2"/>
    <row r="95" spans="1:9" s="552" customFormat="1" hidden="1" x14ac:dyDescent="0.2"/>
    <row r="96" spans="1:9" hidden="1" x14ac:dyDescent="0.2">
      <c r="A96" s="32"/>
      <c r="B96" s="32"/>
      <c r="C96" s="32"/>
      <c r="D96" s="32"/>
      <c r="E96" s="32"/>
      <c r="F96" s="32"/>
      <c r="G96" s="32"/>
      <c r="H96" s="32"/>
      <c r="I96" s="32"/>
    </row>
    <row r="97" spans="1:9" hidden="1" x14ac:dyDescent="0.2">
      <c r="A97" s="32"/>
      <c r="B97" s="32"/>
      <c r="C97" s="32"/>
      <c r="D97" s="32"/>
      <c r="E97" s="32"/>
      <c r="F97" s="32"/>
      <c r="G97" s="32"/>
      <c r="H97" s="32"/>
      <c r="I97" s="32"/>
    </row>
    <row r="98" spans="1:9" hidden="1" x14ac:dyDescent="0.2">
      <c r="A98" s="32"/>
      <c r="B98" s="32"/>
      <c r="C98" s="32"/>
      <c r="D98" s="32"/>
      <c r="E98" s="32"/>
      <c r="F98" s="32"/>
      <c r="G98" s="32"/>
      <c r="H98" s="32"/>
      <c r="I98" s="32"/>
    </row>
    <row r="99" spans="1:9" x14ac:dyDescent="0.2">
      <c r="A99" s="32"/>
      <c r="B99" s="32"/>
      <c r="C99" s="32"/>
      <c r="D99" s="32"/>
      <c r="E99" s="32"/>
      <c r="F99" s="32"/>
      <c r="G99" s="32"/>
      <c r="H99" s="32"/>
      <c r="I99" s="32"/>
    </row>
    <row r="100" spans="1:9" x14ac:dyDescent="0.2">
      <c r="A100" s="553" t="s">
        <v>427</v>
      </c>
      <c r="B100" s="554"/>
      <c r="C100" s="55"/>
      <c r="D100" s="525"/>
      <c r="E100" s="525"/>
      <c r="F100" s="527"/>
      <c r="G100" s="550"/>
      <c r="H100" s="55"/>
      <c r="I100" s="55"/>
    </row>
    <row r="101" spans="1:9" x14ac:dyDescent="0.2">
      <c r="A101" s="55"/>
      <c r="B101" s="55"/>
      <c r="C101" s="55"/>
      <c r="D101" s="55"/>
      <c r="E101" s="55"/>
      <c r="F101" s="55"/>
      <c r="G101" s="55"/>
      <c r="H101" s="55"/>
      <c r="I101" s="55"/>
    </row>
    <row r="102" spans="1:9" x14ac:dyDescent="0.2">
      <c r="A102" s="555" t="s">
        <v>380</v>
      </c>
      <c r="B102" s="556" t="str">
        <f>IFERROR(INDEX(B$7:B$28,MATCH(A102,G$7:G$28,0)),"")</f>
        <v>Jaan Sepp, Mait Metsla, Matti Vinni</v>
      </c>
      <c r="C102" s="557">
        <f>IF(B102="-",0,IF(B104="-",13,""))</f>
        <v>13</v>
      </c>
      <c r="D102" s="55"/>
      <c r="E102" s="55"/>
      <c r="F102" s="55"/>
      <c r="G102" s="55"/>
      <c r="H102" s="55"/>
      <c r="I102" s="55"/>
    </row>
    <row r="103" spans="1:9" x14ac:dyDescent="0.2">
      <c r="A103" s="558"/>
      <c r="B103" s="559"/>
      <c r="C103" s="560" t="str">
        <f>IF(COUNT(C102,C104)=2,IF(C102&gt;C104,B102,B104),"")</f>
        <v>Jaan Sepp, Mait Metsla, Matti Vinni</v>
      </c>
      <c r="D103" s="55"/>
      <c r="E103" s="557">
        <v>13</v>
      </c>
      <c r="F103" s="55"/>
      <c r="G103" s="55"/>
      <c r="H103" s="55"/>
      <c r="I103" s="55"/>
    </row>
    <row r="104" spans="1:9" x14ac:dyDescent="0.2">
      <c r="A104" s="558" t="s">
        <v>31</v>
      </c>
      <c r="B104" s="561" t="s">
        <v>31</v>
      </c>
      <c r="C104" s="562">
        <f>IF(B104="-",0,IF(B102="-",13,""))</f>
        <v>0</v>
      </c>
      <c r="D104" s="563"/>
      <c r="E104" s="55"/>
      <c r="F104" s="55"/>
      <c r="G104" s="55"/>
      <c r="H104" s="55"/>
      <c r="I104" s="55"/>
    </row>
    <row r="105" spans="1:9" x14ac:dyDescent="0.2">
      <c r="A105" s="558"/>
      <c r="B105" s="539"/>
      <c r="C105" s="55"/>
      <c r="D105" s="564"/>
      <c r="E105" s="560" t="str">
        <f>IF(COUNT(E103,E107)=2,IF(E103&gt;E107,C103,C107),"")</f>
        <v>Jaan Sepp, Mait Metsla, Matti Vinni</v>
      </c>
      <c r="F105" s="55"/>
      <c r="G105" s="557">
        <v>7</v>
      </c>
      <c r="H105" s="55"/>
      <c r="I105" s="55"/>
    </row>
    <row r="106" spans="1:9" x14ac:dyDescent="0.2">
      <c r="A106" s="558" t="s">
        <v>381</v>
      </c>
      <c r="B106" s="556" t="str">
        <f>IFERROR(INDEX(B$7:B$28,MATCH(A106,G$7:G$28,0)),"")</f>
        <v>Andres Veski, Kenneth Muusikus, Svetlana Veski</v>
      </c>
      <c r="C106" s="557">
        <v>0</v>
      </c>
      <c r="D106" s="564"/>
      <c r="E106" s="565"/>
      <c r="F106" s="563"/>
      <c r="G106" s="55"/>
      <c r="H106" s="55"/>
      <c r="I106" s="55"/>
    </row>
    <row r="107" spans="1:9" x14ac:dyDescent="0.2">
      <c r="A107" s="558"/>
      <c r="B107" s="559"/>
      <c r="C107" s="560" t="str">
        <f>IF(COUNT(C106,C108)=2,IF(C106&gt;C108,B106,B108),"")</f>
        <v>Henri Mitt, Karla Purgats, Urmas Jõeäär</v>
      </c>
      <c r="D107" s="566"/>
      <c r="E107" s="562">
        <v>7</v>
      </c>
      <c r="F107" s="564"/>
      <c r="G107" s="55"/>
      <c r="H107" s="55"/>
      <c r="I107" s="55"/>
    </row>
    <row r="108" spans="1:9" x14ac:dyDescent="0.2">
      <c r="A108" s="558" t="s">
        <v>385</v>
      </c>
      <c r="B108" s="561" t="str">
        <f>IFERROR(INDEX(B$7:B$28,MATCH(A108,G$7:G$28,0)),"")</f>
        <v>Henri Mitt, Karla Purgats, Urmas Jõeäär</v>
      </c>
      <c r="C108" s="562">
        <v>13</v>
      </c>
      <c r="D108" s="55"/>
      <c r="E108" s="554"/>
      <c r="F108" s="564"/>
      <c r="G108" s="55"/>
      <c r="H108" s="55"/>
      <c r="I108" s="55"/>
    </row>
    <row r="109" spans="1:9" ht="13.5" thickBot="1" x14ac:dyDescent="0.25">
      <c r="A109" s="538"/>
      <c r="B109" s="539"/>
      <c r="C109" s="55"/>
      <c r="D109" s="55"/>
      <c r="E109" s="554"/>
      <c r="F109" s="564"/>
      <c r="G109" s="55"/>
      <c r="H109" s="567" t="str">
        <f>IF(COUNT(G105,G113)=2,IF(G105&gt;G113,E105,E113),"")</f>
        <v>Aarne Välja, Janek Tarto, Romek Tarto</v>
      </c>
      <c r="I109" s="55"/>
    </row>
    <row r="110" spans="1:9" x14ac:dyDescent="0.2">
      <c r="A110" s="555" t="s">
        <v>378</v>
      </c>
      <c r="B110" s="556" t="str">
        <f>IFERROR(INDEX(B$7:B$28,MATCH(A110,G$7:G$28,0)),"")</f>
        <v>Boriss Klubov, Elmo Lageda, Tõnu Piik</v>
      </c>
      <c r="C110" s="557">
        <f>IF(B110="-",0,IF(B112="-",13,""))</f>
        <v>13</v>
      </c>
      <c r="D110" s="55"/>
      <c r="E110" s="55"/>
      <c r="F110" s="564"/>
      <c r="G110" s="568"/>
      <c r="H110" s="569" t="s">
        <v>383</v>
      </c>
      <c r="I110" s="570"/>
    </row>
    <row r="111" spans="1:9" x14ac:dyDescent="0.2">
      <c r="A111" s="558"/>
      <c r="B111" s="559"/>
      <c r="C111" s="560" t="str">
        <f>IF(COUNT(C110,C112)=2,IF(C110&gt;C112,B110,B112),"")</f>
        <v>Boriss Klubov, Elmo Lageda, Tõnu Piik</v>
      </c>
      <c r="D111" s="55"/>
      <c r="E111" s="557">
        <v>5</v>
      </c>
      <c r="F111" s="564"/>
      <c r="G111" s="554"/>
      <c r="H111" s="55"/>
      <c r="I111" s="55"/>
    </row>
    <row r="112" spans="1:9" x14ac:dyDescent="0.2">
      <c r="A112" s="558" t="s">
        <v>31</v>
      </c>
      <c r="B112" s="561" t="s">
        <v>31</v>
      </c>
      <c r="C112" s="562">
        <f>IF(B112="-",0,IF(B110="-",13,""))</f>
        <v>0</v>
      </c>
      <c r="D112" s="563"/>
      <c r="E112" s="55"/>
      <c r="F112" s="564"/>
      <c r="G112" s="554"/>
      <c r="H112" s="55"/>
      <c r="I112" s="55"/>
    </row>
    <row r="113" spans="1:9" x14ac:dyDescent="0.2">
      <c r="A113" s="558"/>
      <c r="B113" s="539"/>
      <c r="C113" s="55"/>
      <c r="D113" s="564"/>
      <c r="E113" s="560" t="str">
        <f>IF(COUNT(E111,E115)=2,IF(E111&gt;E115,C111,C115),"")</f>
        <v>Aarne Välja, Janek Tarto, Romek Tarto</v>
      </c>
      <c r="F113" s="566"/>
      <c r="G113" s="562">
        <v>13</v>
      </c>
      <c r="H113" s="55"/>
      <c r="I113" s="55"/>
    </row>
    <row r="114" spans="1:9" ht="13.5" thickBot="1" x14ac:dyDescent="0.25">
      <c r="A114" s="558" t="s">
        <v>384</v>
      </c>
      <c r="B114" s="556" t="str">
        <f>IFERROR(INDEX(B$7:B$28,MATCH(A114,G$7:G$28,0)),"")</f>
        <v>Aarne Välja, Janek Tarto, Romek Tarto</v>
      </c>
      <c r="C114" s="557">
        <v>13</v>
      </c>
      <c r="D114" s="564"/>
      <c r="E114" s="565"/>
      <c r="F114" s="554"/>
      <c r="G114" s="554"/>
      <c r="H114" s="567" t="str">
        <f>IF(COUNT(G105,G113)=2,IF(G105&lt;G113,E105,E113),"")</f>
        <v>Jaan Sepp, Mait Metsla, Matti Vinni</v>
      </c>
      <c r="I114" s="571"/>
    </row>
    <row r="115" spans="1:9" x14ac:dyDescent="0.2">
      <c r="A115" s="558"/>
      <c r="B115" s="559"/>
      <c r="C115" s="560" t="str">
        <f>IF(COUNT(C114,C116)=2,IF(C114&gt;C116,B114,B116),"")</f>
        <v>Aarne Välja, Janek Tarto, Romek Tarto</v>
      </c>
      <c r="D115" s="566"/>
      <c r="E115" s="562">
        <v>13</v>
      </c>
      <c r="F115" s="55"/>
      <c r="G115" s="554"/>
      <c r="H115" s="569" t="s">
        <v>386</v>
      </c>
      <c r="I115" s="554"/>
    </row>
    <row r="116" spans="1:9" x14ac:dyDescent="0.2">
      <c r="A116" s="558" t="s">
        <v>382</v>
      </c>
      <c r="B116" s="561" t="str">
        <f>IFERROR(INDEX(B$7:B$28,MATCH(A116,G$7:G$28,0)),"")</f>
        <v>Ivar Viljaste, Meelis Luud, Sirje Viljaste</v>
      </c>
      <c r="C116" s="562">
        <v>2</v>
      </c>
      <c r="D116" s="55"/>
      <c r="E116" s="554"/>
      <c r="F116" s="554"/>
      <c r="G116" s="554"/>
      <c r="H116" s="55"/>
      <c r="I116" s="55"/>
    </row>
    <row r="117" spans="1:9" x14ac:dyDescent="0.2">
      <c r="A117" s="538"/>
      <c r="B117" s="539"/>
      <c r="C117" s="55"/>
      <c r="D117" s="55"/>
      <c r="E117" s="551" t="str">
        <f>IF(COUNT(E103,E107)=2,IF(E103&lt;E107,C103,C107),"")</f>
        <v>Henri Mitt, Karla Purgats, Urmas Jõeäär</v>
      </c>
      <c r="F117" s="55"/>
      <c r="G117" s="649">
        <v>10</v>
      </c>
      <c r="H117" s="55"/>
      <c r="I117" s="55"/>
    </row>
    <row r="118" spans="1:9" ht="13.5" thickBot="1" x14ac:dyDescent="0.25">
      <c r="A118" s="55"/>
      <c r="B118" s="55"/>
      <c r="C118" s="55"/>
      <c r="D118" s="55"/>
      <c r="E118" s="587"/>
      <c r="F118" s="563"/>
      <c r="G118" s="571"/>
      <c r="H118" s="567" t="str">
        <f>IF(COUNT(G117,G119)=2,IF(G117&gt;G119,E117,E119),"")</f>
        <v>Boriss Klubov, Elmo Lageda, Tõnu Piik</v>
      </c>
      <c r="I118" s="571"/>
    </row>
    <row r="119" spans="1:9" x14ac:dyDescent="0.2">
      <c r="A119" s="55"/>
      <c r="B119" s="55"/>
      <c r="C119" s="55"/>
      <c r="D119" s="55"/>
      <c r="E119" s="572" t="str">
        <f>IF(COUNT(E111,E115)=2,IF(E111&lt;E115,C111,C115),"")</f>
        <v>Boriss Klubov, Elmo Lageda, Tõnu Piik</v>
      </c>
      <c r="F119" s="566"/>
      <c r="G119" s="562">
        <v>13</v>
      </c>
      <c r="H119" s="523" t="s">
        <v>388</v>
      </c>
      <c r="I119" s="554"/>
    </row>
    <row r="120" spans="1:9" x14ac:dyDescent="0.2">
      <c r="A120" s="55"/>
      <c r="B120" s="55"/>
      <c r="C120" s="55"/>
      <c r="D120" s="55"/>
      <c r="E120" s="55"/>
      <c r="F120" s="55"/>
      <c r="G120" s="55"/>
      <c r="H120" s="554"/>
      <c r="I120" s="554"/>
    </row>
    <row r="121" spans="1:9" ht="13.5" thickBot="1" x14ac:dyDescent="0.25">
      <c r="A121" s="55"/>
      <c r="B121" s="55"/>
      <c r="C121" s="55"/>
      <c r="D121" s="55"/>
      <c r="E121" s="554"/>
      <c r="F121" s="554"/>
      <c r="G121" s="55"/>
      <c r="H121" s="567" t="str">
        <f>IF(COUNT(G117,G119)=2,IF(G117&lt;G119,E117,E119),"")</f>
        <v>Henri Mitt, Karla Purgats, Urmas Jõeäär</v>
      </c>
      <c r="I121" s="571"/>
    </row>
    <row r="122" spans="1:9" x14ac:dyDescent="0.2">
      <c r="A122" s="55"/>
      <c r="B122" s="55"/>
      <c r="C122" s="55"/>
      <c r="D122" s="55"/>
      <c r="E122" s="55"/>
      <c r="F122" s="55"/>
      <c r="G122" s="55"/>
      <c r="H122" s="538" t="s">
        <v>389</v>
      </c>
      <c r="I122" s="55"/>
    </row>
    <row r="123" spans="1:9" x14ac:dyDescent="0.2">
      <c r="A123" s="55"/>
      <c r="B123" s="55"/>
      <c r="C123" s="572" t="str">
        <f>IF(COUNT(C102,C104)=2,IF(C102&lt;C104,B102,B104),"")</f>
        <v>-</v>
      </c>
      <c r="D123" s="55"/>
      <c r="E123" s="557">
        <f>IF(C123="-",0,IF(C125="-",13,""))</f>
        <v>0</v>
      </c>
      <c r="F123" s="557"/>
      <c r="G123" s="557"/>
      <c r="H123" s="55"/>
      <c r="I123" s="55"/>
    </row>
    <row r="124" spans="1:9" x14ac:dyDescent="0.2">
      <c r="A124" s="55"/>
      <c r="B124" s="55"/>
      <c r="C124" s="588"/>
      <c r="D124" s="573"/>
      <c r="E124" s="560" t="str">
        <f>IF(COUNT(E123,E125)=2,IF(E123&gt;E125,C123,C125),"")</f>
        <v>Andres Veski, Kenneth Muusikus, Svetlana Veski</v>
      </c>
      <c r="F124" s="55"/>
      <c r="G124" s="557">
        <v>13</v>
      </c>
      <c r="H124" s="55"/>
      <c r="I124" s="55"/>
    </row>
    <row r="125" spans="1:9" x14ac:dyDescent="0.2">
      <c r="A125" s="55"/>
      <c r="B125" s="55"/>
      <c r="C125" s="572" t="str">
        <f>IF(COUNT(C106,C108)=2,IF(C106&lt;C108,B106,B108),"")</f>
        <v>Andres Veski, Kenneth Muusikus, Svetlana Veski</v>
      </c>
      <c r="D125" s="574"/>
      <c r="E125" s="562">
        <f>IF(C125="-",0,IF(C123="-",13,""))</f>
        <v>13</v>
      </c>
      <c r="F125" s="573"/>
      <c r="G125" s="557"/>
      <c r="H125" s="55"/>
      <c r="I125" s="55"/>
    </row>
    <row r="126" spans="1:9" ht="13.5" thickBot="1" x14ac:dyDescent="0.25">
      <c r="A126" s="55"/>
      <c r="B126" s="55"/>
      <c r="C126" s="557"/>
      <c r="D126" s="557"/>
      <c r="E126" s="575"/>
      <c r="F126" s="576"/>
      <c r="G126" s="557"/>
      <c r="H126" s="567" t="str">
        <f>IF(COUNT(G124,G128)=2,IF(G124&gt;G128,E124,E128),"")</f>
        <v>Andres Veski, Kenneth Muusikus, Svetlana Veski</v>
      </c>
      <c r="I126" s="55"/>
    </row>
    <row r="127" spans="1:9" x14ac:dyDescent="0.2">
      <c r="A127" s="55"/>
      <c r="B127" s="55"/>
      <c r="C127" s="572" t="str">
        <f>IF(COUNT(C110,C112)=2,IF(C110&lt;C112,B110,B112),"")</f>
        <v>-</v>
      </c>
      <c r="D127" s="557"/>
      <c r="E127" s="557">
        <f>IF(C127="-",0,IF(C129="-",13,""))</f>
        <v>0</v>
      </c>
      <c r="F127" s="576"/>
      <c r="G127" s="577"/>
      <c r="H127" s="569" t="s">
        <v>390</v>
      </c>
      <c r="I127" s="570"/>
    </row>
    <row r="128" spans="1:9" x14ac:dyDescent="0.2">
      <c r="A128" s="55"/>
      <c r="B128" s="55"/>
      <c r="C128" s="588"/>
      <c r="D128" s="573"/>
      <c r="E128" s="560" t="str">
        <f>IF(COUNT(E127,E129)=2,IF(E127&gt;E129,C127,C129),"")</f>
        <v>Ivar Viljaste, Meelis Luud, Sirje Viljaste</v>
      </c>
      <c r="F128" s="566"/>
      <c r="G128" s="562">
        <v>10</v>
      </c>
      <c r="H128" s="55"/>
      <c r="I128" s="55"/>
    </row>
    <row r="129" spans="1:9" ht="13.5" thickBot="1" x14ac:dyDescent="0.25">
      <c r="A129" s="55"/>
      <c r="B129" s="55"/>
      <c r="C129" s="572" t="str">
        <f>IF(COUNT(C114,C116)=2,IF(C114&lt;C116,B114,B116),"")</f>
        <v>Ivar Viljaste, Meelis Luud, Sirje Viljaste</v>
      </c>
      <c r="D129" s="574"/>
      <c r="E129" s="562">
        <f>IF(C129="-",0,IF(C127="-",13,""))</f>
        <v>13</v>
      </c>
      <c r="F129" s="557"/>
      <c r="G129" s="575"/>
      <c r="H129" s="567" t="str">
        <f>IF(COUNT(G124,G128)=2,IF(G124&lt;G128,E124,E128),"")</f>
        <v>Ivar Viljaste, Meelis Luud, Sirje Viljaste</v>
      </c>
      <c r="I129" s="571"/>
    </row>
    <row r="130" spans="1:9" x14ac:dyDescent="0.2">
      <c r="A130" s="55"/>
      <c r="B130" s="55"/>
      <c r="C130" s="557"/>
      <c r="D130" s="557"/>
      <c r="E130" s="557"/>
      <c r="F130" s="557"/>
      <c r="G130" s="575"/>
      <c r="H130" s="569" t="s">
        <v>391</v>
      </c>
      <c r="I130" s="554"/>
    </row>
    <row r="131" spans="1:9" x14ac:dyDescent="0.2">
      <c r="A131" s="55"/>
      <c r="B131" s="55"/>
      <c r="C131" s="557"/>
      <c r="D131" s="575"/>
      <c r="E131" s="551" t="str">
        <f>IF(COUNT(E123,E125)=2,IF(E123&lt;E125,C123,C125),"")</f>
        <v>-</v>
      </c>
      <c r="F131" s="55"/>
      <c r="G131" s="557">
        <f>IF(E131="-",0,IF(E133="-",13,""))</f>
        <v>0</v>
      </c>
      <c r="H131" s="554"/>
      <c r="I131" s="554"/>
    </row>
    <row r="132" spans="1:9" ht="13.5" thickBot="1" x14ac:dyDescent="0.25">
      <c r="A132" s="55"/>
      <c r="B132" s="55"/>
      <c r="C132" s="557"/>
      <c r="D132" s="575"/>
      <c r="E132" s="587"/>
      <c r="F132" s="563"/>
      <c r="G132" s="571"/>
      <c r="H132" s="567" t="str">
        <f>IF(COUNT(G131,G133)=2,IF(G131&gt;G133,E131,E133),"")</f>
        <v>-</v>
      </c>
      <c r="I132" s="571"/>
    </row>
    <row r="133" spans="1:9" x14ac:dyDescent="0.2">
      <c r="A133" s="55"/>
      <c r="B133" s="55"/>
      <c r="C133" s="557"/>
      <c r="D133" s="575"/>
      <c r="E133" s="572" t="str">
        <f>IF(COUNT(E127,E129)=2,IF(E127&lt;E129,C127,C129),"")</f>
        <v>-</v>
      </c>
      <c r="F133" s="566"/>
      <c r="G133" s="562">
        <f>IF(E133="-",0,IF(E131="-",13,""))</f>
        <v>0</v>
      </c>
      <c r="H133" s="523"/>
      <c r="I133" s="554"/>
    </row>
    <row r="134" spans="1:9" x14ac:dyDescent="0.2">
      <c r="A134" s="55"/>
      <c r="B134" s="55"/>
      <c r="C134" s="55"/>
      <c r="D134" s="554"/>
      <c r="E134" s="55"/>
      <c r="F134" s="55"/>
      <c r="G134" s="55"/>
      <c r="H134" s="554"/>
      <c r="I134" s="554"/>
    </row>
    <row r="135" spans="1:9" ht="13.5" thickBot="1" x14ac:dyDescent="0.25">
      <c r="A135" s="55"/>
      <c r="B135" s="55"/>
      <c r="C135" s="55"/>
      <c r="D135" s="55"/>
      <c r="E135" s="554"/>
      <c r="F135" s="554"/>
      <c r="G135" s="55"/>
      <c r="H135" s="571" t="str">
        <f>IF(COUNT(G131,G133)=2,IF(G131&lt;G133,E131,E133),"")</f>
        <v>-</v>
      </c>
      <c r="I135" s="571"/>
    </row>
    <row r="136" spans="1:9" x14ac:dyDescent="0.2">
      <c r="A136" s="55"/>
      <c r="B136" s="55"/>
      <c r="C136" s="55"/>
      <c r="D136" s="55"/>
      <c r="E136" s="554"/>
      <c r="F136" s="554"/>
      <c r="G136" s="55"/>
      <c r="H136" s="523"/>
      <c r="I136" s="55"/>
    </row>
    <row r="137" spans="1:9" x14ac:dyDescent="0.2">
      <c r="A137" s="55"/>
      <c r="B137" s="55"/>
      <c r="C137" s="55"/>
      <c r="D137" s="55"/>
      <c r="E137" s="55"/>
      <c r="F137" s="55"/>
      <c r="G137" s="55"/>
      <c r="H137" s="55"/>
      <c r="I137" s="55"/>
    </row>
    <row r="138" spans="1:9" x14ac:dyDescent="0.2">
      <c r="A138" s="553" t="s">
        <v>423</v>
      </c>
      <c r="B138" s="554"/>
      <c r="C138" s="525"/>
      <c r="D138" s="525"/>
      <c r="E138" s="525"/>
      <c r="F138" s="527"/>
      <c r="G138" s="550"/>
      <c r="H138" s="55"/>
      <c r="I138" s="55"/>
    </row>
    <row r="139" spans="1:9" x14ac:dyDescent="0.2">
      <c r="A139" s="55"/>
      <c r="B139" s="55"/>
      <c r="C139" s="55"/>
      <c r="D139" s="55"/>
      <c r="E139" s="55"/>
      <c r="F139" s="55"/>
      <c r="G139" s="55"/>
      <c r="H139" s="55"/>
      <c r="I139" s="55"/>
    </row>
    <row r="140" spans="1:9" x14ac:dyDescent="0.2">
      <c r="B140" s="652" t="s">
        <v>394</v>
      </c>
      <c r="C140" s="653" t="str">
        <f>IFERROR(INDEX(B$7:B$28,MATCH(B140,G$7:G$28,0)),"")</f>
        <v>Peep Peenema, Tõnu Kapper, Vladimir Ogneštšikov</v>
      </c>
      <c r="D140" s="55"/>
      <c r="E140" s="557">
        <v>13</v>
      </c>
      <c r="F140" s="557"/>
      <c r="G140" s="557"/>
      <c r="H140" s="55"/>
      <c r="I140" s="55"/>
    </row>
    <row r="141" spans="1:9" x14ac:dyDescent="0.2">
      <c r="B141" s="652"/>
      <c r="C141" s="647"/>
      <c r="D141" s="573"/>
      <c r="E141" s="560" t="str">
        <f>IF(COUNT(E140,E142)=2,IF(E140&gt;E142,C140,C142),"")</f>
        <v>Peep Peenema, Tõnu Kapper, Vladimir Ogneštšikov</v>
      </c>
      <c r="F141" s="55"/>
      <c r="G141" s="557">
        <v>2</v>
      </c>
      <c r="H141" s="55"/>
      <c r="I141" s="55"/>
    </row>
    <row r="142" spans="1:9" x14ac:dyDescent="0.2">
      <c r="B142" s="652" t="s">
        <v>398</v>
      </c>
      <c r="C142" s="653" t="str">
        <f>IFERROR(INDEX(B$7:B$28,MATCH(B142,G$7:G$28,0)),"")</f>
        <v>Oksana Sažina, Oleg Rõndenkov, Toomas Tedrekull</v>
      </c>
      <c r="D142" s="574"/>
      <c r="E142" s="562">
        <v>11</v>
      </c>
      <c r="F142" s="573"/>
      <c r="G142" s="557"/>
      <c r="H142" s="55"/>
      <c r="I142" s="55"/>
    </row>
    <row r="143" spans="1:9" ht="13.5" thickBot="1" x14ac:dyDescent="0.25">
      <c r="B143" s="652"/>
      <c r="C143" s="575"/>
      <c r="D143" s="557"/>
      <c r="E143" s="575"/>
      <c r="F143" s="576"/>
      <c r="G143" s="557"/>
      <c r="H143" s="567" t="str">
        <f>IF(COUNT(G141,G145)=2,IF(G141&gt;G145,E141,E145),"")</f>
        <v>Brigitta Neiland, Einar Juhkam, Johannes Neiland, Väino Aul</v>
      </c>
      <c r="I143" s="55"/>
    </row>
    <row r="144" spans="1:9" x14ac:dyDescent="0.2">
      <c r="B144" s="652" t="s">
        <v>396</v>
      </c>
      <c r="C144" s="653" t="str">
        <f>IFERROR(INDEX(B$7:B$28,MATCH(B144,G$7:G$28,0)),"")</f>
        <v>Enn Tokman, Jaan Saar, Tarmo Bombe</v>
      </c>
      <c r="D144" s="557"/>
      <c r="E144" s="557">
        <v>5</v>
      </c>
      <c r="F144" s="576"/>
      <c r="G144" s="577"/>
      <c r="H144" s="569" t="s">
        <v>392</v>
      </c>
      <c r="I144" s="570"/>
    </row>
    <row r="145" spans="1:9" x14ac:dyDescent="0.2">
      <c r="B145" s="652"/>
      <c r="C145" s="647"/>
      <c r="D145" s="573"/>
      <c r="E145" s="560" t="str">
        <f>IF(COUNT(E144,E146)=2,IF(E144&gt;E146,C144,C146),"")</f>
        <v>Brigitta Neiland, Einar Juhkam, Johannes Neiland, Väino Aul</v>
      </c>
      <c r="F145" s="566"/>
      <c r="G145" s="562">
        <v>13</v>
      </c>
      <c r="H145" s="55"/>
      <c r="I145" s="55"/>
    </row>
    <row r="146" spans="1:9" ht="13.5" thickBot="1" x14ac:dyDescent="0.25">
      <c r="B146" s="652" t="s">
        <v>401</v>
      </c>
      <c r="C146" s="653" t="str">
        <f>IFERROR(INDEX(B$7:B$28,MATCH(B146,G$7:G$28,0)),"")</f>
        <v>Brigitta Neiland, Einar Juhkam, Johannes Neiland, Väino Aul</v>
      </c>
      <c r="D146" s="574"/>
      <c r="E146" s="562">
        <v>13</v>
      </c>
      <c r="F146" s="557"/>
      <c r="G146" s="575"/>
      <c r="H146" s="567" t="str">
        <f>IF(COUNT(G141,G145)=2,IF(G141&lt;G145,E141,E145),"")</f>
        <v>Peep Peenema, Tõnu Kapper, Vladimir Ogneštšikov</v>
      </c>
      <c r="I146" s="571"/>
    </row>
    <row r="147" spans="1:9" x14ac:dyDescent="0.2">
      <c r="C147" s="557"/>
      <c r="D147" s="557"/>
      <c r="E147" s="557"/>
      <c r="F147" s="557"/>
      <c r="G147" s="575"/>
      <c r="H147" s="569" t="s">
        <v>393</v>
      </c>
      <c r="I147" s="554"/>
    </row>
    <row r="148" spans="1:9" x14ac:dyDescent="0.2">
      <c r="C148" s="557"/>
      <c r="D148" s="575"/>
      <c r="E148" s="551" t="str">
        <f>IF(COUNT(E140,E142)=2,IF(E140&lt;E142,C140,C142),"")</f>
        <v>Oksana Sažina, Oleg Rõndenkov, Toomas Tedrekull</v>
      </c>
      <c r="F148" s="55"/>
      <c r="G148" s="557">
        <v>7</v>
      </c>
      <c r="H148" s="554"/>
      <c r="I148" s="554"/>
    </row>
    <row r="149" spans="1:9" ht="13.5" thickBot="1" x14ac:dyDescent="0.25">
      <c r="C149" s="557"/>
      <c r="D149" s="575"/>
      <c r="E149" s="587"/>
      <c r="F149" s="563"/>
      <c r="G149" s="571"/>
      <c r="H149" s="567" t="str">
        <f>IF(COUNT(G148,G150)=2,IF(G148&gt;G150,E148,E150),"")</f>
        <v>Enn Tokman, Jaan Saar, Tarmo Bombe</v>
      </c>
      <c r="I149" s="571"/>
    </row>
    <row r="150" spans="1:9" x14ac:dyDescent="0.2">
      <c r="C150" s="557"/>
      <c r="D150" s="575"/>
      <c r="E150" s="572" t="str">
        <f>IF(COUNT(E144,E146)=2,IF(E144&lt;E146,C144,C146),"")</f>
        <v>Enn Tokman, Jaan Saar, Tarmo Bombe</v>
      </c>
      <c r="F150" s="566"/>
      <c r="G150" s="562">
        <v>13</v>
      </c>
      <c r="H150" s="523" t="s">
        <v>399</v>
      </c>
      <c r="I150" s="554"/>
    </row>
    <row r="151" spans="1:9" x14ac:dyDescent="0.2">
      <c r="A151" s="55"/>
      <c r="B151" s="55"/>
      <c r="C151" s="55"/>
      <c r="D151" s="554"/>
      <c r="E151" s="55"/>
      <c r="F151" s="55"/>
      <c r="G151" s="55"/>
      <c r="H151" s="554"/>
      <c r="I151" s="554"/>
    </row>
    <row r="152" spans="1:9" ht="13.5" thickBot="1" x14ac:dyDescent="0.25">
      <c r="A152" s="55"/>
      <c r="B152" s="55"/>
      <c r="C152" s="55"/>
      <c r="D152" s="55"/>
      <c r="E152" s="554"/>
      <c r="F152" s="554"/>
      <c r="G152" s="55"/>
      <c r="H152" s="571" t="str">
        <f>IF(COUNT(G148,G150)=2,IF(G148&lt;G150,E148,E150),"")</f>
        <v>Oksana Sažina, Oleg Rõndenkov, Toomas Tedrekull</v>
      </c>
      <c r="I152" s="571"/>
    </row>
    <row r="153" spans="1:9" x14ac:dyDescent="0.2">
      <c r="A153" s="55"/>
      <c r="B153" s="55"/>
      <c r="C153" s="55"/>
      <c r="D153" s="55"/>
      <c r="E153" s="554"/>
      <c r="F153" s="554"/>
      <c r="G153" s="55"/>
      <c r="H153" s="523" t="s">
        <v>402</v>
      </c>
      <c r="I153" s="55"/>
    </row>
    <row r="154" spans="1:9" hidden="1" x14ac:dyDescent="0.2">
      <c r="A154" s="55"/>
      <c r="B154" s="55"/>
      <c r="C154" s="55"/>
      <c r="D154" s="55"/>
      <c r="E154" s="55"/>
      <c r="F154" s="55"/>
    </row>
    <row r="155" spans="1:9" hidden="1" x14ac:dyDescent="0.2">
      <c r="A155" s="55"/>
      <c r="B155" s="55"/>
      <c r="C155" s="55"/>
      <c r="D155" s="55"/>
      <c r="E155" s="55"/>
      <c r="F155" s="55"/>
    </row>
    <row r="156" spans="1:9" hidden="1" x14ac:dyDescent="0.2">
      <c r="A156" s="55"/>
      <c r="B156" s="55"/>
      <c r="C156" s="55"/>
      <c r="D156" s="55"/>
      <c r="E156" s="55"/>
      <c r="F156" s="55"/>
    </row>
    <row r="157" spans="1:9" hidden="1" x14ac:dyDescent="0.2">
      <c r="A157" s="55"/>
      <c r="B157" s="55"/>
      <c r="C157" s="55"/>
      <c r="D157" s="55"/>
      <c r="E157" s="55"/>
      <c r="F157" s="55"/>
    </row>
    <row r="158" spans="1:9" hidden="1" x14ac:dyDescent="0.2">
      <c r="A158" s="55"/>
      <c r="B158" s="55"/>
      <c r="C158" s="55"/>
      <c r="D158" s="55"/>
      <c r="E158" s="55"/>
      <c r="F158" s="55"/>
    </row>
    <row r="159" spans="1:9" hidden="1" x14ac:dyDescent="0.2">
      <c r="A159" s="32"/>
      <c r="B159" s="32"/>
      <c r="C159" s="32"/>
      <c r="D159" s="32"/>
      <c r="E159" s="32"/>
      <c r="F159" s="32"/>
      <c r="G159" s="32"/>
      <c r="H159" s="32"/>
      <c r="I159" s="32"/>
    </row>
    <row r="160" spans="1:9" hidden="1" x14ac:dyDescent="0.2">
      <c r="A160" s="32"/>
      <c r="B160" s="32"/>
      <c r="C160" s="32"/>
      <c r="D160" s="32"/>
      <c r="E160" s="32"/>
      <c r="F160" s="32"/>
      <c r="G160" s="32"/>
      <c r="H160" s="32"/>
      <c r="I160" s="32"/>
    </row>
    <row r="161" spans="1:9" hidden="1" x14ac:dyDescent="0.2">
      <c r="A161" s="32"/>
      <c r="B161" s="32"/>
      <c r="C161" s="32"/>
      <c r="D161" s="32"/>
      <c r="E161" s="32"/>
      <c r="F161" s="32"/>
      <c r="G161" s="32"/>
      <c r="H161" s="32"/>
      <c r="I161" s="32"/>
    </row>
    <row r="162" spans="1:9" hidden="1" x14ac:dyDescent="0.2">
      <c r="A162" s="32"/>
      <c r="B162" s="32"/>
      <c r="C162" s="32"/>
      <c r="D162" s="32"/>
      <c r="E162" s="32"/>
      <c r="F162" s="32"/>
      <c r="G162" s="32"/>
      <c r="H162" s="32"/>
      <c r="I162" s="32"/>
    </row>
    <row r="163" spans="1:9" hidden="1" x14ac:dyDescent="0.2">
      <c r="A163" s="32"/>
      <c r="B163" s="32"/>
      <c r="C163" s="32"/>
      <c r="D163" s="32"/>
      <c r="E163" s="32"/>
      <c r="F163" s="32"/>
      <c r="G163" s="32"/>
      <c r="H163" s="32"/>
      <c r="I163" s="32"/>
    </row>
    <row r="164" spans="1:9" hidden="1" x14ac:dyDescent="0.2">
      <c r="A164" s="32"/>
      <c r="B164" s="32"/>
      <c r="C164" s="32"/>
      <c r="D164" s="32"/>
      <c r="E164" s="32"/>
      <c r="F164" s="32"/>
      <c r="G164" s="32"/>
      <c r="H164" s="32"/>
      <c r="I164" s="32"/>
    </row>
    <row r="165" spans="1:9" hidden="1" x14ac:dyDescent="0.2">
      <c r="A165" s="32"/>
      <c r="B165" s="32"/>
      <c r="C165" s="32"/>
      <c r="D165" s="32"/>
      <c r="E165" s="32"/>
      <c r="F165" s="32"/>
      <c r="G165" s="32"/>
      <c r="H165" s="32"/>
      <c r="I165" s="32"/>
    </row>
    <row r="166" spans="1:9" hidden="1" x14ac:dyDescent="0.2">
      <c r="A166" s="32"/>
      <c r="B166" s="32"/>
      <c r="C166" s="32"/>
      <c r="D166" s="32"/>
      <c r="E166" s="32"/>
    </row>
    <row r="167" spans="1:9" hidden="1" x14ac:dyDescent="0.2">
      <c r="A167" s="32"/>
      <c r="B167" s="32"/>
      <c r="C167" s="32"/>
      <c r="D167" s="32"/>
      <c r="E167" s="32"/>
    </row>
    <row r="168" spans="1:9" hidden="1" x14ac:dyDescent="0.2">
      <c r="A168" s="32"/>
      <c r="B168" s="32"/>
      <c r="C168" s="32"/>
      <c r="D168" s="32"/>
      <c r="E168" s="32"/>
    </row>
    <row r="169" spans="1:9" hidden="1" x14ac:dyDescent="0.2">
      <c r="A169" s="32"/>
      <c r="B169" s="32"/>
      <c r="C169" s="32"/>
      <c r="D169" s="32"/>
      <c r="E169" s="32"/>
    </row>
    <row r="170" spans="1:9" hidden="1" x14ac:dyDescent="0.2">
      <c r="A170" s="32"/>
      <c r="B170" s="32"/>
      <c r="C170" s="32"/>
      <c r="D170" s="32"/>
      <c r="E170" s="32"/>
    </row>
    <row r="171" spans="1:9" hidden="1" x14ac:dyDescent="0.2">
      <c r="A171" s="32"/>
      <c r="B171" s="32"/>
      <c r="C171" s="32"/>
      <c r="D171" s="32"/>
      <c r="E171" s="32"/>
    </row>
    <row r="172" spans="1:9" hidden="1" x14ac:dyDescent="0.2">
      <c r="A172" s="32"/>
      <c r="B172" s="32"/>
      <c r="C172" s="32"/>
      <c r="D172" s="32"/>
      <c r="E172" s="32"/>
    </row>
    <row r="173" spans="1:9" hidden="1" x14ac:dyDescent="0.2">
      <c r="A173" s="32"/>
      <c r="B173" s="32"/>
      <c r="C173" s="32"/>
      <c r="D173" s="32"/>
      <c r="E173" s="32"/>
    </row>
    <row r="174" spans="1:9" hidden="1" x14ac:dyDescent="0.2">
      <c r="A174" s="32"/>
      <c r="B174" s="32"/>
      <c r="C174" s="32"/>
      <c r="D174" s="32"/>
      <c r="E174" s="32"/>
    </row>
    <row r="175" spans="1:9" hidden="1" x14ac:dyDescent="0.2">
      <c r="A175" s="32"/>
      <c r="B175" s="32"/>
      <c r="C175" s="32"/>
      <c r="D175" s="32"/>
      <c r="E175" s="32"/>
    </row>
    <row r="176" spans="1:9" hidden="1" x14ac:dyDescent="0.2">
      <c r="A176" s="32"/>
      <c r="B176" s="32"/>
      <c r="C176" s="32"/>
      <c r="D176" s="32"/>
      <c r="E176" s="32"/>
    </row>
    <row r="177" spans="1:9" hidden="1" x14ac:dyDescent="0.2">
      <c r="A177" s="32"/>
      <c r="B177" s="32"/>
      <c r="C177" s="32"/>
      <c r="D177" s="32"/>
      <c r="E177" s="32"/>
    </row>
    <row r="178" spans="1:9" hidden="1" x14ac:dyDescent="0.2">
      <c r="A178" s="32"/>
      <c r="B178" s="32"/>
      <c r="C178" s="32"/>
      <c r="D178" s="32"/>
      <c r="E178" s="32"/>
    </row>
    <row r="179" spans="1:9" hidden="1" x14ac:dyDescent="0.2">
      <c r="A179" s="32"/>
      <c r="B179" s="32"/>
      <c r="C179" s="32"/>
      <c r="D179" s="32"/>
      <c r="E179" s="32"/>
    </row>
    <row r="180" spans="1:9" hidden="1" x14ac:dyDescent="0.2">
      <c r="A180" s="32"/>
      <c r="B180" s="32"/>
      <c r="C180" s="32"/>
      <c r="D180" s="32"/>
      <c r="E180" s="32"/>
    </row>
    <row r="181" spans="1:9" hidden="1" x14ac:dyDescent="0.2">
      <c r="A181" s="32"/>
      <c r="B181" s="32"/>
      <c r="C181" s="32"/>
      <c r="D181" s="32"/>
      <c r="E181" s="32"/>
    </row>
    <row r="182" spans="1:9" hidden="1" x14ac:dyDescent="0.2">
      <c r="A182" s="32"/>
      <c r="B182" s="32"/>
      <c r="C182" s="32"/>
      <c r="D182" s="32"/>
      <c r="E182" s="32"/>
      <c r="F182" s="32"/>
      <c r="G182" s="32"/>
      <c r="H182" s="32"/>
      <c r="I182" s="32"/>
    </row>
    <row r="183" spans="1:9" hidden="1" x14ac:dyDescent="0.2">
      <c r="A183" s="32"/>
      <c r="B183" s="32"/>
      <c r="C183" s="32"/>
      <c r="D183" s="32"/>
      <c r="E183" s="32"/>
      <c r="F183" s="32"/>
      <c r="G183" s="32"/>
      <c r="H183" s="32"/>
      <c r="I183" s="32"/>
    </row>
    <row r="184" spans="1:9" hidden="1" x14ac:dyDescent="0.2">
      <c r="A184" s="32"/>
      <c r="B184" s="32"/>
      <c r="C184" s="32"/>
      <c r="D184" s="32"/>
      <c r="E184" s="32"/>
      <c r="F184" s="32"/>
      <c r="G184" s="32"/>
      <c r="H184" s="32"/>
      <c r="I184" s="32"/>
    </row>
    <row r="185" spans="1:9" hidden="1" x14ac:dyDescent="0.2">
      <c r="A185" s="32"/>
      <c r="B185" s="32"/>
      <c r="C185" s="32"/>
      <c r="D185" s="32"/>
      <c r="E185" s="32"/>
      <c r="F185" s="32"/>
      <c r="G185" s="32"/>
      <c r="H185" s="32"/>
      <c r="I185" s="32"/>
    </row>
    <row r="186" spans="1:9" hidden="1" x14ac:dyDescent="0.2">
      <c r="A186" s="32"/>
      <c r="B186" s="32"/>
      <c r="C186" s="32"/>
      <c r="D186" s="32"/>
      <c r="E186" s="32"/>
      <c r="F186" s="32"/>
      <c r="G186" s="32"/>
      <c r="H186" s="32"/>
      <c r="I186" s="32"/>
    </row>
    <row r="187" spans="1:9" hidden="1" x14ac:dyDescent="0.2">
      <c r="A187" s="32"/>
      <c r="B187" s="32"/>
      <c r="C187" s="32"/>
      <c r="D187" s="32"/>
      <c r="E187" s="32"/>
      <c r="F187" s="32"/>
      <c r="G187" s="32"/>
      <c r="H187" s="32"/>
      <c r="I187" s="32"/>
    </row>
    <row r="188" spans="1:9" hidden="1" x14ac:dyDescent="0.2">
      <c r="A188" s="32"/>
      <c r="B188" s="32"/>
      <c r="C188" s="32"/>
      <c r="D188" s="32"/>
      <c r="E188" s="32"/>
      <c r="F188" s="32"/>
      <c r="G188" s="32"/>
      <c r="H188" s="32"/>
      <c r="I188" s="32"/>
    </row>
    <row r="189" spans="1:9" hidden="1" x14ac:dyDescent="0.2">
      <c r="A189" s="32"/>
      <c r="B189" s="32"/>
      <c r="C189" s="32"/>
      <c r="D189" s="32"/>
      <c r="E189" s="32"/>
      <c r="F189" s="32"/>
      <c r="G189" s="32"/>
      <c r="H189" s="32"/>
      <c r="I189" s="32"/>
    </row>
    <row r="190" spans="1:9" hidden="1" x14ac:dyDescent="0.2">
      <c r="A190" s="32"/>
      <c r="B190" s="32"/>
      <c r="C190" s="32"/>
      <c r="D190" s="32"/>
      <c r="E190" s="32"/>
      <c r="F190" s="32"/>
      <c r="G190" s="32"/>
      <c r="H190" s="32"/>
      <c r="I190" s="32"/>
    </row>
    <row r="191" spans="1:9" hidden="1" x14ac:dyDescent="0.2">
      <c r="A191" s="32"/>
      <c r="B191" s="32"/>
      <c r="C191" s="32"/>
      <c r="D191" s="32"/>
      <c r="E191" s="32"/>
      <c r="F191" s="32"/>
      <c r="G191" s="32"/>
      <c r="H191" s="32"/>
      <c r="I191" s="32"/>
    </row>
    <row r="192" spans="1:9" hidden="1" x14ac:dyDescent="0.2">
      <c r="A192" s="32"/>
      <c r="B192" s="32"/>
      <c r="C192" s="32"/>
      <c r="D192" s="32"/>
      <c r="E192" s="32"/>
      <c r="F192" s="32"/>
      <c r="G192" s="32"/>
      <c r="H192" s="32"/>
      <c r="I192" s="32"/>
    </row>
    <row r="193" spans="1:9" hidden="1" x14ac:dyDescent="0.2">
      <c r="A193" s="32"/>
      <c r="B193" s="32"/>
      <c r="C193" s="32"/>
      <c r="D193" s="32"/>
      <c r="E193" s="32"/>
      <c r="F193" s="32"/>
      <c r="G193" s="32"/>
      <c r="H193" s="32"/>
      <c r="I193" s="32"/>
    </row>
    <row r="194" spans="1:9" hidden="1" x14ac:dyDescent="0.2">
      <c r="A194" s="32"/>
      <c r="B194" s="32"/>
      <c r="C194" s="32"/>
      <c r="D194" s="32"/>
      <c r="E194" s="32"/>
      <c r="F194" s="32"/>
      <c r="G194" s="32"/>
      <c r="H194" s="32"/>
      <c r="I194" s="32"/>
    </row>
    <row r="195" spans="1:9" hidden="1" x14ac:dyDescent="0.2">
      <c r="A195" s="32"/>
      <c r="B195" s="32"/>
      <c r="C195" s="32"/>
      <c r="D195" s="32"/>
      <c r="E195" s="32"/>
      <c r="F195" s="32"/>
      <c r="G195" s="32"/>
      <c r="H195" s="32"/>
      <c r="I195" s="32"/>
    </row>
    <row r="196" spans="1:9" hidden="1" x14ac:dyDescent="0.2">
      <c r="A196" s="32"/>
      <c r="B196" s="32"/>
      <c r="C196" s="32"/>
      <c r="D196" s="32"/>
      <c r="E196" s="32"/>
      <c r="F196" s="32"/>
      <c r="G196" s="32"/>
      <c r="H196" s="32"/>
      <c r="I196" s="32"/>
    </row>
    <row r="197" spans="1:9" hidden="1" x14ac:dyDescent="0.2">
      <c r="A197" s="32"/>
      <c r="B197" s="32"/>
      <c r="C197" s="32"/>
      <c r="D197" s="32"/>
      <c r="E197" s="32"/>
      <c r="F197" s="32"/>
      <c r="G197" s="32"/>
      <c r="H197" s="32"/>
      <c r="I197" s="32"/>
    </row>
    <row r="198" spans="1:9" hidden="1" x14ac:dyDescent="0.2">
      <c r="A198" s="32"/>
      <c r="B198" s="32"/>
      <c r="C198" s="32"/>
      <c r="D198" s="32"/>
      <c r="E198" s="32"/>
      <c r="F198" s="32"/>
      <c r="G198" s="32"/>
      <c r="H198" s="32"/>
      <c r="I198" s="32"/>
    </row>
    <row r="199" spans="1:9" hidden="1" x14ac:dyDescent="0.2">
      <c r="A199" s="32"/>
      <c r="B199" s="32"/>
      <c r="C199" s="32"/>
      <c r="D199" s="32"/>
      <c r="E199" s="32"/>
      <c r="F199" s="32"/>
      <c r="G199" s="32"/>
      <c r="H199" s="32"/>
      <c r="I199" s="32"/>
    </row>
    <row r="200" spans="1:9" hidden="1" x14ac:dyDescent="0.2">
      <c r="A200" s="32"/>
      <c r="B200" s="32"/>
      <c r="C200" s="32"/>
      <c r="D200" s="32"/>
      <c r="E200" s="32"/>
      <c r="F200" s="32"/>
      <c r="G200" s="32"/>
      <c r="H200" s="32"/>
      <c r="I200" s="32"/>
    </row>
    <row r="201" spans="1:9" hidden="1" x14ac:dyDescent="0.2">
      <c r="A201" s="32"/>
      <c r="B201" s="32"/>
      <c r="C201" s="32"/>
      <c r="D201" s="32"/>
      <c r="E201" s="32"/>
      <c r="F201" s="32"/>
      <c r="G201" s="32"/>
      <c r="H201" s="32"/>
      <c r="I201" s="32"/>
    </row>
    <row r="202" spans="1:9" hidden="1" x14ac:dyDescent="0.2">
      <c r="A202" s="32"/>
      <c r="B202" s="32"/>
      <c r="C202" s="32"/>
      <c r="D202" s="32"/>
      <c r="E202" s="32"/>
      <c r="F202" s="32"/>
      <c r="G202" s="32"/>
      <c r="H202" s="32"/>
      <c r="I202" s="32"/>
    </row>
    <row r="203" spans="1:9" hidden="1" x14ac:dyDescent="0.2">
      <c r="A203" s="32"/>
      <c r="B203" s="32"/>
      <c r="C203" s="32"/>
      <c r="D203" s="32"/>
      <c r="E203" s="32"/>
      <c r="F203" s="32"/>
      <c r="G203" s="32"/>
      <c r="H203" s="32"/>
      <c r="I203" s="32"/>
    </row>
    <row r="204" spans="1:9" hidden="1" x14ac:dyDescent="0.2">
      <c r="A204" s="32"/>
      <c r="B204" s="32"/>
      <c r="C204" s="32"/>
      <c r="D204" s="32"/>
      <c r="E204" s="32"/>
      <c r="F204" s="32"/>
      <c r="G204" s="32"/>
      <c r="H204" s="32"/>
      <c r="I204" s="32"/>
    </row>
    <row r="205" spans="1:9" hidden="1" x14ac:dyDescent="0.2">
      <c r="A205" s="32"/>
      <c r="B205" s="32"/>
      <c r="C205" s="32"/>
      <c r="D205" s="32"/>
      <c r="E205" s="32"/>
      <c r="F205" s="32"/>
      <c r="G205" s="32"/>
      <c r="H205" s="32"/>
      <c r="I205" s="32"/>
    </row>
    <row r="206" spans="1:9" hidden="1" x14ac:dyDescent="0.2">
      <c r="A206" s="32"/>
      <c r="B206" s="32"/>
      <c r="C206" s="32"/>
      <c r="D206" s="32"/>
      <c r="E206" s="32"/>
      <c r="F206" s="32"/>
      <c r="G206" s="32"/>
      <c r="H206" s="32"/>
      <c r="I206" s="32"/>
    </row>
    <row r="207" spans="1:9" hidden="1" x14ac:dyDescent="0.2">
      <c r="A207" s="32"/>
      <c r="B207" s="32"/>
      <c r="C207" s="32"/>
      <c r="D207" s="32"/>
      <c r="E207" s="32"/>
      <c r="F207" s="32"/>
      <c r="G207" s="32"/>
      <c r="H207" s="32"/>
      <c r="I207" s="32"/>
    </row>
    <row r="208" spans="1:9" hidden="1" x14ac:dyDescent="0.2">
      <c r="A208" s="32"/>
      <c r="B208" s="32"/>
      <c r="C208" s="32"/>
      <c r="D208" s="32"/>
      <c r="E208" s="32"/>
      <c r="F208" s="32"/>
      <c r="G208" s="32"/>
      <c r="H208" s="32"/>
      <c r="I208" s="32"/>
    </row>
    <row r="209" spans="1:9" hidden="1" x14ac:dyDescent="0.2">
      <c r="A209" s="32"/>
      <c r="B209" s="32"/>
      <c r="C209" s="32"/>
      <c r="D209" s="32"/>
      <c r="E209" s="32"/>
      <c r="F209" s="32"/>
      <c r="G209" s="32"/>
      <c r="H209" s="32"/>
      <c r="I209" s="32"/>
    </row>
    <row r="210" spans="1:9" hidden="1" x14ac:dyDescent="0.2">
      <c r="A210" s="32"/>
      <c r="B210" s="32"/>
      <c r="C210" s="32"/>
      <c r="D210" s="32"/>
      <c r="E210" s="32"/>
      <c r="F210" s="32"/>
      <c r="G210" s="32"/>
      <c r="H210" s="32"/>
      <c r="I210" s="32"/>
    </row>
    <row r="211" spans="1:9" hidden="1" x14ac:dyDescent="0.2">
      <c r="A211" s="32"/>
      <c r="B211" s="32"/>
      <c r="C211" s="32"/>
      <c r="D211" s="32"/>
      <c r="E211" s="32"/>
      <c r="F211" s="32"/>
      <c r="G211" s="32"/>
      <c r="H211" s="32"/>
      <c r="I211" s="32"/>
    </row>
    <row r="212" spans="1:9" hidden="1" x14ac:dyDescent="0.2">
      <c r="A212" s="32"/>
      <c r="B212" s="32"/>
      <c r="C212" s="32"/>
      <c r="D212" s="32"/>
      <c r="E212" s="32"/>
      <c r="F212" s="32"/>
      <c r="G212" s="32"/>
      <c r="H212" s="32"/>
      <c r="I212" s="32"/>
    </row>
    <row r="213" spans="1:9" hidden="1" x14ac:dyDescent="0.2">
      <c r="A213" s="32"/>
      <c r="B213" s="32"/>
      <c r="C213" s="32"/>
      <c r="D213" s="32"/>
      <c r="E213" s="32"/>
      <c r="F213" s="32"/>
      <c r="G213" s="32"/>
      <c r="H213" s="32"/>
      <c r="I213" s="32"/>
    </row>
    <row r="214" spans="1:9" hidden="1" x14ac:dyDescent="0.2">
      <c r="A214" s="32"/>
      <c r="B214" s="32"/>
      <c r="C214" s="32"/>
      <c r="D214" s="32"/>
      <c r="E214" s="32"/>
      <c r="F214" s="32"/>
      <c r="G214" s="32"/>
      <c r="H214" s="32"/>
      <c r="I214" s="32"/>
    </row>
    <row r="215" spans="1:9" hidden="1" x14ac:dyDescent="0.2">
      <c r="A215" s="32"/>
      <c r="B215" s="32"/>
      <c r="C215" s="32"/>
      <c r="D215" s="32"/>
      <c r="E215" s="32"/>
      <c r="F215" s="32"/>
      <c r="G215" s="32"/>
      <c r="H215" s="32"/>
      <c r="I215" s="32"/>
    </row>
    <row r="216" spans="1:9" hidden="1" x14ac:dyDescent="0.2">
      <c r="A216" s="32"/>
      <c r="B216" s="32"/>
      <c r="C216" s="32"/>
      <c r="D216" s="32"/>
      <c r="E216" s="32"/>
      <c r="F216" s="32"/>
      <c r="G216" s="32"/>
      <c r="H216" s="32"/>
      <c r="I216" s="32"/>
    </row>
    <row r="217" spans="1:9" hidden="1" x14ac:dyDescent="0.2">
      <c r="A217" s="32"/>
      <c r="B217" s="32"/>
      <c r="C217" s="32"/>
      <c r="D217" s="32"/>
      <c r="E217" s="32"/>
      <c r="F217" s="32"/>
      <c r="G217" s="32"/>
      <c r="H217" s="32"/>
      <c r="I217" s="32"/>
    </row>
    <row r="218" spans="1:9" hidden="1" x14ac:dyDescent="0.2">
      <c r="A218" s="32"/>
      <c r="B218" s="32"/>
      <c r="C218" s="32"/>
      <c r="D218" s="32"/>
      <c r="E218" s="32"/>
      <c r="F218" s="32"/>
      <c r="G218" s="32"/>
      <c r="H218" s="32"/>
      <c r="I218" s="32"/>
    </row>
    <row r="219" spans="1:9" hidden="1" x14ac:dyDescent="0.2">
      <c r="A219" s="32"/>
      <c r="B219" s="32"/>
      <c r="C219" s="32"/>
      <c r="D219" s="32"/>
      <c r="E219" s="32"/>
      <c r="F219" s="32"/>
      <c r="G219" s="32"/>
      <c r="H219" s="32"/>
      <c r="I219" s="32"/>
    </row>
    <row r="220" spans="1:9" hidden="1" x14ac:dyDescent="0.2">
      <c r="A220" s="32"/>
      <c r="B220" s="32"/>
      <c r="C220" s="32"/>
      <c r="D220" s="32"/>
      <c r="E220" s="32"/>
      <c r="F220" s="32"/>
      <c r="G220" s="32"/>
      <c r="H220" s="32"/>
      <c r="I220" s="32"/>
    </row>
    <row r="221" spans="1:9" hidden="1" x14ac:dyDescent="0.2">
      <c r="A221" s="32"/>
      <c r="B221" s="32"/>
      <c r="C221" s="32"/>
      <c r="D221" s="32"/>
      <c r="E221" s="32"/>
      <c r="F221" s="32"/>
      <c r="G221" s="32"/>
      <c r="H221" s="32"/>
      <c r="I221" s="32"/>
    </row>
    <row r="222" spans="1:9" hidden="1" x14ac:dyDescent="0.2">
      <c r="A222" s="32"/>
      <c r="B222" s="32"/>
      <c r="C222" s="32"/>
      <c r="D222" s="32"/>
      <c r="E222" s="32"/>
      <c r="F222" s="32"/>
      <c r="G222" s="32"/>
      <c r="H222" s="32"/>
      <c r="I222" s="32"/>
    </row>
    <row r="223" spans="1:9" hidden="1" x14ac:dyDescent="0.2">
      <c r="A223" s="32"/>
      <c r="B223" s="32"/>
      <c r="C223" s="32"/>
      <c r="D223" s="32"/>
      <c r="E223" s="32"/>
      <c r="F223" s="32"/>
      <c r="G223" s="32"/>
      <c r="H223" s="32"/>
      <c r="I223" s="32"/>
    </row>
    <row r="224" spans="1:9" hidden="1" x14ac:dyDescent="0.2">
      <c r="A224" s="32"/>
      <c r="B224" s="32"/>
      <c r="C224" s="32"/>
      <c r="D224" s="32"/>
      <c r="E224" s="32"/>
      <c r="F224" s="32"/>
      <c r="G224" s="32"/>
      <c r="H224" s="32"/>
      <c r="I224" s="32"/>
    </row>
    <row r="225" spans="1:9" hidden="1" x14ac:dyDescent="0.2">
      <c r="A225" s="32"/>
      <c r="B225" s="32"/>
      <c r="C225" s="32"/>
      <c r="D225" s="32"/>
      <c r="E225" s="32"/>
      <c r="F225" s="32"/>
      <c r="G225" s="32"/>
      <c r="H225" s="32"/>
      <c r="I225" s="32"/>
    </row>
    <row r="226" spans="1:9" hidden="1" x14ac:dyDescent="0.2">
      <c r="A226" s="32"/>
      <c r="B226" s="32"/>
      <c r="C226" s="32"/>
      <c r="D226" s="32"/>
      <c r="E226" s="32"/>
      <c r="F226" s="32"/>
      <c r="G226" s="32"/>
      <c r="H226" s="32"/>
      <c r="I226" s="32"/>
    </row>
    <row r="227" spans="1:9" hidden="1" x14ac:dyDescent="0.2">
      <c r="A227" s="32"/>
      <c r="B227" s="32"/>
      <c r="C227" s="32"/>
      <c r="D227" s="32"/>
      <c r="E227" s="32"/>
      <c r="F227" s="32"/>
      <c r="G227" s="32"/>
      <c r="H227" s="32"/>
      <c r="I227" s="32"/>
    </row>
    <row r="228" spans="1:9" hidden="1" x14ac:dyDescent="0.2">
      <c r="A228" s="32"/>
      <c r="B228" s="32"/>
      <c r="C228" s="32"/>
      <c r="D228" s="32"/>
      <c r="E228" s="32"/>
      <c r="F228" s="32"/>
      <c r="G228" s="32"/>
      <c r="H228" s="32"/>
      <c r="I228" s="32"/>
    </row>
    <row r="229" spans="1:9" hidden="1" x14ac:dyDescent="0.2">
      <c r="A229" s="32"/>
      <c r="B229" s="32"/>
      <c r="C229" s="32"/>
      <c r="D229" s="32"/>
      <c r="E229" s="32"/>
      <c r="F229" s="32"/>
      <c r="G229" s="32"/>
      <c r="H229" s="32"/>
      <c r="I229" s="32"/>
    </row>
    <row r="230" spans="1:9" hidden="1" x14ac:dyDescent="0.2">
      <c r="A230" s="32"/>
      <c r="B230" s="32"/>
      <c r="C230" s="32"/>
      <c r="D230" s="32"/>
      <c r="E230" s="32"/>
      <c r="F230" s="32"/>
      <c r="G230" s="32"/>
      <c r="H230" s="32"/>
      <c r="I230" s="32"/>
    </row>
    <row r="231" spans="1:9" hidden="1" x14ac:dyDescent="0.2">
      <c r="A231" s="32"/>
      <c r="B231" s="32"/>
      <c r="C231" s="32"/>
      <c r="D231" s="32"/>
      <c r="E231" s="32"/>
      <c r="F231" s="32"/>
      <c r="G231" s="32"/>
      <c r="H231" s="32"/>
      <c r="I231" s="32"/>
    </row>
    <row r="232" spans="1:9" hidden="1" x14ac:dyDescent="0.2">
      <c r="A232" s="32"/>
      <c r="B232" s="32"/>
      <c r="C232" s="32"/>
      <c r="D232" s="32"/>
      <c r="E232" s="32"/>
      <c r="F232" s="32"/>
      <c r="G232" s="32"/>
      <c r="H232" s="32"/>
      <c r="I232" s="32"/>
    </row>
    <row r="233" spans="1:9" hidden="1" x14ac:dyDescent="0.2">
      <c r="A233" s="32"/>
      <c r="B233" s="32"/>
      <c r="C233" s="32"/>
      <c r="D233" s="32"/>
      <c r="E233" s="32"/>
      <c r="F233" s="32"/>
      <c r="G233" s="32"/>
      <c r="H233" s="32"/>
      <c r="I233" s="32"/>
    </row>
    <row r="234" spans="1:9" hidden="1" x14ac:dyDescent="0.2">
      <c r="A234" s="32"/>
      <c r="B234" s="32"/>
      <c r="C234" s="32"/>
      <c r="D234" s="32"/>
      <c r="E234" s="32"/>
      <c r="F234" s="32"/>
      <c r="G234" s="32"/>
      <c r="H234" s="32"/>
      <c r="I234" s="32"/>
    </row>
    <row r="235" spans="1:9" hidden="1" x14ac:dyDescent="0.2">
      <c r="A235" s="32"/>
      <c r="B235" s="32"/>
      <c r="C235" s="32"/>
      <c r="D235" s="32"/>
      <c r="E235" s="32"/>
      <c r="F235" s="32"/>
      <c r="G235" s="32"/>
      <c r="H235" s="32"/>
      <c r="I235" s="32"/>
    </row>
    <row r="236" spans="1:9" hidden="1" x14ac:dyDescent="0.2">
      <c r="A236" s="32"/>
      <c r="B236" s="32"/>
      <c r="C236" s="32"/>
      <c r="D236" s="32"/>
      <c r="E236" s="32"/>
      <c r="F236" s="32"/>
      <c r="G236" s="32"/>
      <c r="H236" s="32"/>
      <c r="I236" s="32"/>
    </row>
    <row r="237" spans="1:9" hidden="1" x14ac:dyDescent="0.2">
      <c r="A237" s="32"/>
      <c r="B237" s="32"/>
      <c r="C237" s="32"/>
      <c r="D237" s="32"/>
      <c r="E237" s="32"/>
      <c r="F237" s="32"/>
      <c r="G237" s="32"/>
      <c r="H237" s="32"/>
      <c r="I237" s="32"/>
    </row>
    <row r="238" spans="1:9" hidden="1" x14ac:dyDescent="0.2">
      <c r="A238" s="32"/>
      <c r="B238" s="32"/>
      <c r="C238" s="32"/>
      <c r="D238" s="32"/>
      <c r="E238" s="32"/>
      <c r="F238" s="32"/>
      <c r="G238" s="32"/>
      <c r="H238" s="32"/>
      <c r="I238" s="32"/>
    </row>
    <row r="239" spans="1:9" hidden="1" x14ac:dyDescent="0.2">
      <c r="A239" s="32"/>
      <c r="B239" s="32"/>
      <c r="C239" s="32"/>
      <c r="D239" s="32"/>
      <c r="E239" s="32"/>
      <c r="F239" s="32"/>
      <c r="G239" s="32"/>
      <c r="H239" s="32"/>
      <c r="I239" s="32"/>
    </row>
    <row r="240" spans="1:9" hidden="1" x14ac:dyDescent="0.2">
      <c r="A240" s="32"/>
      <c r="B240" s="32"/>
      <c r="C240" s="32"/>
      <c r="D240" s="32"/>
      <c r="E240" s="32"/>
      <c r="F240" s="32"/>
      <c r="G240" s="32"/>
      <c r="H240" s="32"/>
      <c r="I240" s="32"/>
    </row>
    <row r="241" spans="1:9" hidden="1" x14ac:dyDescent="0.2">
      <c r="A241" s="32"/>
      <c r="B241" s="32"/>
      <c r="C241" s="32"/>
      <c r="D241" s="32"/>
      <c r="E241" s="32"/>
      <c r="F241" s="32"/>
      <c r="G241" s="32"/>
      <c r="H241" s="32"/>
      <c r="I241" s="32"/>
    </row>
    <row r="242" spans="1:9" hidden="1" x14ac:dyDescent="0.2">
      <c r="A242" s="32"/>
      <c r="B242" s="32"/>
      <c r="C242" s="32"/>
      <c r="D242" s="32"/>
      <c r="E242" s="32"/>
      <c r="F242" s="32"/>
      <c r="G242" s="32"/>
      <c r="H242" s="32"/>
      <c r="I242" s="32"/>
    </row>
    <row r="243" spans="1:9" hidden="1" x14ac:dyDescent="0.2">
      <c r="A243" s="32"/>
      <c r="B243" s="32"/>
      <c r="C243" s="32"/>
      <c r="D243" s="32"/>
      <c r="E243" s="32"/>
      <c r="F243" s="32"/>
      <c r="G243" s="32"/>
      <c r="H243" s="32"/>
      <c r="I243" s="32"/>
    </row>
    <row r="244" spans="1:9" hidden="1" x14ac:dyDescent="0.2">
      <c r="A244" s="32"/>
      <c r="B244" s="32"/>
      <c r="C244" s="32"/>
      <c r="D244" s="32"/>
      <c r="E244" s="32"/>
      <c r="F244" s="32"/>
      <c r="G244" s="32"/>
      <c r="H244" s="32"/>
      <c r="I244" s="32"/>
    </row>
    <row r="245" spans="1:9" hidden="1" x14ac:dyDescent="0.2">
      <c r="A245" s="32"/>
      <c r="B245" s="32"/>
      <c r="C245" s="32"/>
      <c r="D245" s="32"/>
      <c r="E245" s="32"/>
      <c r="F245" s="32"/>
      <c r="G245" s="32"/>
      <c r="H245" s="32"/>
      <c r="I245" s="32"/>
    </row>
    <row r="246" spans="1:9" hidden="1" x14ac:dyDescent="0.2">
      <c r="A246" s="32"/>
      <c r="B246" s="32"/>
      <c r="C246" s="32"/>
      <c r="D246" s="32"/>
      <c r="E246" s="32"/>
      <c r="F246" s="32"/>
      <c r="G246" s="32"/>
      <c r="H246" s="32"/>
      <c r="I246" s="32"/>
    </row>
    <row r="247" spans="1:9" hidden="1" x14ac:dyDescent="0.2">
      <c r="A247" s="32"/>
      <c r="B247" s="32"/>
      <c r="C247" s="32"/>
      <c r="D247" s="32"/>
      <c r="E247" s="32"/>
      <c r="F247" s="32"/>
      <c r="G247" s="32"/>
      <c r="H247" s="32"/>
      <c r="I247" s="32"/>
    </row>
    <row r="248" spans="1:9" hidden="1" x14ac:dyDescent="0.2">
      <c r="A248" s="32"/>
      <c r="B248" s="32"/>
      <c r="C248" s="32"/>
      <c r="D248" s="32"/>
      <c r="E248" s="32"/>
      <c r="F248" s="32"/>
      <c r="G248" s="32"/>
      <c r="H248" s="32"/>
      <c r="I248" s="32"/>
    </row>
    <row r="249" spans="1:9" hidden="1" x14ac:dyDescent="0.2">
      <c r="A249" s="32"/>
      <c r="B249" s="32"/>
      <c r="C249" s="32"/>
      <c r="D249" s="32"/>
      <c r="E249" s="32"/>
      <c r="F249" s="32"/>
      <c r="G249" s="32"/>
      <c r="H249" s="32"/>
      <c r="I249" s="32"/>
    </row>
    <row r="250" spans="1:9" hidden="1" x14ac:dyDescent="0.2">
      <c r="A250" s="32"/>
      <c r="B250" s="32"/>
      <c r="C250" s="32"/>
      <c r="D250" s="32"/>
      <c r="E250" s="32"/>
      <c r="F250" s="32"/>
      <c r="G250" s="32"/>
      <c r="H250" s="32"/>
      <c r="I250" s="32"/>
    </row>
    <row r="251" spans="1:9" hidden="1" x14ac:dyDescent="0.2">
      <c r="A251" s="32"/>
      <c r="B251" s="32"/>
      <c r="C251" s="32"/>
      <c r="D251" s="32"/>
      <c r="E251" s="32"/>
      <c r="F251" s="32"/>
      <c r="G251" s="32"/>
      <c r="H251" s="32"/>
      <c r="I251" s="32"/>
    </row>
    <row r="252" spans="1:9" hidden="1" x14ac:dyDescent="0.2">
      <c r="A252" s="32"/>
      <c r="B252" s="32"/>
      <c r="C252" s="32"/>
      <c r="D252" s="32"/>
      <c r="E252" s="32"/>
      <c r="F252" s="32"/>
      <c r="G252" s="32"/>
      <c r="H252" s="32"/>
      <c r="I252" s="32"/>
    </row>
    <row r="253" spans="1:9" hidden="1" x14ac:dyDescent="0.2">
      <c r="A253" s="32"/>
      <c r="B253" s="32"/>
      <c r="C253" s="32"/>
      <c r="D253" s="32"/>
      <c r="E253" s="32"/>
      <c r="F253" s="32"/>
      <c r="G253" s="32"/>
      <c r="H253" s="32"/>
      <c r="I253" s="32"/>
    </row>
    <row r="254" spans="1:9" hidden="1" x14ac:dyDescent="0.2">
      <c r="A254" s="32"/>
      <c r="B254" s="32"/>
      <c r="C254" s="32"/>
      <c r="D254" s="32"/>
      <c r="E254" s="32"/>
      <c r="F254" s="32"/>
      <c r="G254" s="32"/>
      <c r="H254" s="32"/>
      <c r="I254" s="32"/>
    </row>
    <row r="255" spans="1:9" hidden="1" x14ac:dyDescent="0.2">
      <c r="A255" s="32"/>
      <c r="B255" s="32"/>
      <c r="C255" s="32"/>
      <c r="D255" s="32"/>
      <c r="E255" s="32"/>
      <c r="F255" s="32"/>
      <c r="G255" s="32"/>
      <c r="H255" s="32"/>
      <c r="I255" s="32"/>
    </row>
    <row r="256" spans="1:9" hidden="1" x14ac:dyDescent="0.2">
      <c r="A256" s="32"/>
      <c r="B256" s="32"/>
      <c r="C256" s="32"/>
      <c r="D256" s="32"/>
      <c r="E256" s="32"/>
      <c r="F256" s="32"/>
      <c r="G256" s="32"/>
      <c r="H256" s="32"/>
      <c r="I256" s="32"/>
    </row>
    <row r="257" spans="1:9" hidden="1" x14ac:dyDescent="0.2">
      <c r="A257" s="32"/>
      <c r="B257" s="32"/>
      <c r="C257" s="32"/>
      <c r="D257" s="32"/>
      <c r="E257" s="32"/>
      <c r="F257" s="32"/>
      <c r="G257" s="32"/>
      <c r="H257" s="32"/>
      <c r="I257" s="32"/>
    </row>
    <row r="258" spans="1:9" hidden="1" x14ac:dyDescent="0.2">
      <c r="A258" s="32"/>
      <c r="B258" s="32"/>
      <c r="C258" s="32"/>
      <c r="D258" s="32"/>
      <c r="E258" s="32"/>
      <c r="F258" s="32"/>
      <c r="G258" s="32"/>
      <c r="H258" s="32"/>
      <c r="I258" s="32"/>
    </row>
    <row r="259" spans="1:9" hidden="1" x14ac:dyDescent="0.2">
      <c r="A259" s="32"/>
      <c r="B259" s="32"/>
      <c r="C259" s="32"/>
      <c r="D259" s="32"/>
      <c r="E259" s="32"/>
      <c r="F259" s="32"/>
      <c r="G259" s="32"/>
      <c r="H259" s="32"/>
      <c r="I259" s="32"/>
    </row>
    <row r="260" spans="1:9" hidden="1" x14ac:dyDescent="0.2">
      <c r="A260" s="32"/>
      <c r="B260" s="32"/>
      <c r="C260" s="32"/>
      <c r="D260" s="32"/>
      <c r="E260" s="32"/>
      <c r="F260" s="32"/>
      <c r="G260" s="32"/>
      <c r="H260" s="32"/>
      <c r="I260" s="32"/>
    </row>
    <row r="261" spans="1:9" hidden="1" x14ac:dyDescent="0.2">
      <c r="A261" s="32"/>
      <c r="B261" s="32"/>
      <c r="C261" s="32"/>
      <c r="D261" s="32"/>
      <c r="E261" s="32"/>
      <c r="F261" s="32"/>
      <c r="G261" s="32"/>
      <c r="H261" s="32"/>
      <c r="I261" s="32"/>
    </row>
    <row r="262" spans="1:9" hidden="1" x14ac:dyDescent="0.2">
      <c r="A262" s="32"/>
      <c r="B262" s="32"/>
      <c r="C262" s="32"/>
      <c r="D262" s="32"/>
      <c r="E262" s="32"/>
      <c r="F262" s="32"/>
      <c r="G262" s="32"/>
      <c r="H262" s="32"/>
      <c r="I262" s="32"/>
    </row>
    <row r="263" spans="1:9" hidden="1" x14ac:dyDescent="0.2">
      <c r="A263" s="32"/>
      <c r="B263" s="32"/>
      <c r="C263" s="32"/>
      <c r="D263" s="32"/>
      <c r="E263" s="32"/>
      <c r="F263" s="32"/>
      <c r="G263" s="32"/>
      <c r="H263" s="32"/>
      <c r="I263" s="32"/>
    </row>
    <row r="264" spans="1:9" hidden="1" x14ac:dyDescent="0.2">
      <c r="A264" s="32"/>
      <c r="B264" s="32"/>
      <c r="C264" s="32"/>
      <c r="D264" s="32"/>
      <c r="E264" s="32"/>
      <c r="F264" s="32"/>
      <c r="G264" s="32"/>
      <c r="H264" s="32"/>
      <c r="I264" s="32"/>
    </row>
    <row r="265" spans="1:9" hidden="1" x14ac:dyDescent="0.2">
      <c r="A265" s="32"/>
      <c r="B265" s="32"/>
      <c r="C265" s="32"/>
      <c r="D265" s="32"/>
      <c r="E265" s="32"/>
      <c r="F265" s="32"/>
      <c r="G265" s="32"/>
      <c r="H265" s="32"/>
      <c r="I265" s="32"/>
    </row>
    <row r="266" spans="1:9" hidden="1" x14ac:dyDescent="0.2">
      <c r="A266" s="32"/>
      <c r="B266" s="32"/>
      <c r="C266" s="32"/>
      <c r="D266" s="32"/>
      <c r="E266" s="32"/>
      <c r="F266" s="32"/>
      <c r="G266" s="32"/>
      <c r="H266" s="32"/>
      <c r="I266" s="32"/>
    </row>
    <row r="267" spans="1:9" hidden="1" x14ac:dyDescent="0.2">
      <c r="A267" s="32"/>
      <c r="B267" s="32"/>
      <c r="C267" s="32"/>
      <c r="D267" s="32"/>
      <c r="E267" s="32"/>
      <c r="F267" s="32"/>
      <c r="G267" s="32"/>
      <c r="H267" s="32"/>
      <c r="I267" s="32"/>
    </row>
    <row r="268" spans="1:9" hidden="1" x14ac:dyDescent="0.2">
      <c r="A268" s="32"/>
      <c r="B268" s="32"/>
      <c r="C268" s="32"/>
      <c r="D268" s="32"/>
      <c r="E268" s="32"/>
      <c r="F268" s="32"/>
      <c r="G268" s="32"/>
      <c r="H268" s="32"/>
      <c r="I268" s="32"/>
    </row>
    <row r="269" spans="1:9" hidden="1" x14ac:dyDescent="0.2">
      <c r="A269" s="32"/>
      <c r="B269" s="32"/>
      <c r="C269" s="32"/>
      <c r="D269" s="32"/>
      <c r="E269" s="32"/>
      <c r="F269" s="32"/>
      <c r="G269" s="32"/>
      <c r="H269" s="32"/>
      <c r="I269" s="32"/>
    </row>
    <row r="270" spans="1:9" hidden="1" x14ac:dyDescent="0.2">
      <c r="A270" s="32"/>
      <c r="B270" s="32"/>
      <c r="C270" s="32"/>
      <c r="D270" s="32"/>
      <c r="E270" s="32"/>
      <c r="F270" s="32"/>
      <c r="G270" s="32"/>
      <c r="H270" s="32"/>
      <c r="I270" s="32"/>
    </row>
    <row r="271" spans="1:9" hidden="1" x14ac:dyDescent="0.2">
      <c r="A271" s="32"/>
      <c r="B271" s="32"/>
      <c r="C271" s="32"/>
      <c r="D271" s="32"/>
      <c r="E271" s="32"/>
      <c r="F271" s="32"/>
      <c r="G271" s="32"/>
      <c r="H271" s="32"/>
      <c r="I271" s="32"/>
    </row>
    <row r="272" spans="1:9" hidden="1" x14ac:dyDescent="0.2">
      <c r="A272" s="32"/>
      <c r="B272" s="32"/>
      <c r="C272" s="32"/>
      <c r="D272" s="32"/>
      <c r="E272" s="32"/>
      <c r="F272" s="32"/>
      <c r="G272" s="32"/>
      <c r="H272" s="32"/>
      <c r="I272" s="32"/>
    </row>
    <row r="273" spans="1:9" hidden="1" x14ac:dyDescent="0.2">
      <c r="A273" s="32"/>
      <c r="B273" s="32"/>
      <c r="C273" s="32"/>
      <c r="D273" s="32"/>
      <c r="E273" s="32"/>
      <c r="F273" s="32"/>
      <c r="G273" s="32"/>
      <c r="H273" s="32"/>
      <c r="I273" s="32"/>
    </row>
    <row r="274" spans="1:9" hidden="1" x14ac:dyDescent="0.2">
      <c r="A274" s="32"/>
      <c r="B274" s="32"/>
      <c r="C274" s="32"/>
      <c r="D274" s="32"/>
      <c r="E274" s="32"/>
      <c r="F274" s="32"/>
      <c r="G274" s="32"/>
      <c r="H274" s="32"/>
      <c r="I274" s="32"/>
    </row>
    <row r="275" spans="1:9" hidden="1" x14ac:dyDescent="0.2">
      <c r="A275" s="32"/>
      <c r="B275" s="32"/>
      <c r="C275" s="32"/>
      <c r="D275" s="32"/>
      <c r="E275" s="32"/>
      <c r="F275" s="32"/>
      <c r="G275" s="32"/>
      <c r="H275" s="32"/>
      <c r="I275" s="32"/>
    </row>
    <row r="276" spans="1:9" hidden="1" x14ac:dyDescent="0.2">
      <c r="A276" s="32"/>
      <c r="B276" s="32"/>
      <c r="C276" s="32"/>
      <c r="D276" s="32"/>
      <c r="E276" s="32"/>
      <c r="F276" s="32"/>
      <c r="G276" s="32"/>
      <c r="H276" s="32"/>
      <c r="I276" s="32"/>
    </row>
    <row r="277" spans="1:9" hidden="1" x14ac:dyDescent="0.2">
      <c r="A277" s="32"/>
      <c r="B277" s="32"/>
      <c r="C277" s="32"/>
      <c r="D277" s="32"/>
      <c r="E277" s="32"/>
      <c r="F277" s="32"/>
      <c r="G277" s="32"/>
      <c r="H277" s="32"/>
      <c r="I277" s="32"/>
    </row>
    <row r="278" spans="1:9" hidden="1" x14ac:dyDescent="0.2">
      <c r="A278" s="32"/>
      <c r="B278" s="32"/>
      <c r="C278" s="32"/>
      <c r="D278" s="32"/>
      <c r="E278" s="32"/>
      <c r="F278" s="32"/>
      <c r="G278" s="32"/>
      <c r="H278" s="32"/>
      <c r="I278" s="32"/>
    </row>
    <row r="279" spans="1:9" hidden="1" x14ac:dyDescent="0.2">
      <c r="A279" s="32"/>
      <c r="B279" s="32"/>
      <c r="C279" s="32"/>
      <c r="D279" s="32"/>
      <c r="E279" s="32"/>
      <c r="F279" s="32"/>
      <c r="G279" s="32"/>
      <c r="H279" s="32"/>
      <c r="I279" s="32"/>
    </row>
    <row r="280" spans="1:9" hidden="1" x14ac:dyDescent="0.2">
      <c r="A280" s="32"/>
      <c r="B280" s="32"/>
      <c r="C280" s="32"/>
      <c r="D280" s="32"/>
      <c r="E280" s="32"/>
      <c r="F280" s="32"/>
      <c r="G280" s="32"/>
      <c r="H280" s="32"/>
      <c r="I280" s="32"/>
    </row>
    <row r="281" spans="1:9" hidden="1" x14ac:dyDescent="0.2">
      <c r="A281" s="32"/>
      <c r="B281" s="32"/>
      <c r="C281" s="32"/>
      <c r="D281" s="32"/>
      <c r="E281" s="32"/>
      <c r="F281" s="32"/>
      <c r="G281" s="32"/>
      <c r="H281" s="32"/>
      <c r="I281" s="32"/>
    </row>
    <row r="282" spans="1:9" hidden="1" x14ac:dyDescent="0.2">
      <c r="A282" s="32"/>
      <c r="B282" s="32"/>
      <c r="C282" s="32"/>
      <c r="D282" s="32"/>
      <c r="E282" s="32"/>
      <c r="F282" s="32"/>
      <c r="G282" s="32"/>
      <c r="H282" s="32"/>
      <c r="I282" s="32"/>
    </row>
    <row r="283" spans="1:9" hidden="1" x14ac:dyDescent="0.2">
      <c r="A283" s="32"/>
      <c r="B283" s="32"/>
      <c r="C283" s="32"/>
      <c r="D283" s="32"/>
      <c r="E283" s="32"/>
      <c r="F283" s="32"/>
      <c r="G283" s="32"/>
      <c r="H283" s="32"/>
      <c r="I283" s="32"/>
    </row>
    <row r="284" spans="1:9" hidden="1" x14ac:dyDescent="0.2">
      <c r="A284" s="32"/>
      <c r="B284" s="32"/>
      <c r="C284" s="32"/>
      <c r="D284" s="32"/>
      <c r="E284" s="32"/>
      <c r="F284" s="32"/>
      <c r="G284" s="32"/>
      <c r="H284" s="32"/>
      <c r="I284" s="32"/>
    </row>
    <row r="285" spans="1:9" hidden="1" x14ac:dyDescent="0.2">
      <c r="A285" s="32"/>
      <c r="B285" s="32"/>
      <c r="C285" s="32"/>
      <c r="D285" s="32"/>
      <c r="E285" s="32"/>
      <c r="F285" s="32"/>
      <c r="G285" s="32"/>
      <c r="H285" s="32"/>
      <c r="I285" s="32"/>
    </row>
    <row r="286" spans="1:9" hidden="1" x14ac:dyDescent="0.2">
      <c r="A286" s="32"/>
      <c r="B286" s="32"/>
      <c r="C286" s="32"/>
      <c r="D286" s="32"/>
      <c r="E286" s="32"/>
      <c r="F286" s="32"/>
      <c r="G286" s="32"/>
      <c r="H286" s="32"/>
      <c r="I286" s="32"/>
    </row>
    <row r="287" spans="1:9" hidden="1" x14ac:dyDescent="0.2">
      <c r="A287" s="32"/>
      <c r="B287" s="32"/>
      <c r="C287" s="32"/>
      <c r="D287" s="32"/>
      <c r="E287" s="32"/>
      <c r="F287" s="32"/>
      <c r="G287" s="32"/>
      <c r="H287" s="32"/>
      <c r="I287" s="32"/>
    </row>
    <row r="288" spans="1:9" hidden="1" x14ac:dyDescent="0.2">
      <c r="A288" s="32"/>
      <c r="B288" s="32"/>
      <c r="C288" s="32"/>
      <c r="D288" s="32"/>
      <c r="E288" s="32"/>
      <c r="F288" s="32"/>
      <c r="G288" s="32"/>
      <c r="H288" s="32"/>
      <c r="I288" s="32"/>
    </row>
    <row r="289" spans="1:9" hidden="1" x14ac:dyDescent="0.2">
      <c r="A289" s="32"/>
      <c r="B289" s="32"/>
      <c r="C289" s="32"/>
      <c r="D289" s="32"/>
      <c r="E289" s="32"/>
      <c r="F289" s="32"/>
      <c r="G289" s="32"/>
      <c r="H289" s="32"/>
      <c r="I289" s="32"/>
    </row>
    <row r="290" spans="1:9" hidden="1" x14ac:dyDescent="0.2">
      <c r="A290" s="32"/>
      <c r="B290" s="32"/>
      <c r="C290" s="32"/>
      <c r="D290" s="32"/>
      <c r="E290" s="32"/>
      <c r="F290" s="32"/>
      <c r="G290" s="32"/>
      <c r="H290" s="32"/>
      <c r="I290" s="32"/>
    </row>
    <row r="291" spans="1:9" hidden="1" x14ac:dyDescent="0.2">
      <c r="A291" s="32"/>
      <c r="B291" s="32"/>
      <c r="C291" s="32"/>
      <c r="D291" s="32"/>
      <c r="E291" s="32"/>
      <c r="F291" s="32"/>
      <c r="G291" s="32"/>
      <c r="H291" s="32"/>
      <c r="I291" s="32"/>
    </row>
    <row r="292" spans="1:9" hidden="1" x14ac:dyDescent="0.2">
      <c r="A292" s="32"/>
      <c r="B292" s="32"/>
      <c r="C292" s="32"/>
      <c r="D292" s="32"/>
      <c r="E292" s="32"/>
      <c r="F292" s="32"/>
      <c r="G292" s="32"/>
      <c r="H292" s="32"/>
      <c r="I292" s="32"/>
    </row>
    <row r="293" spans="1:9" hidden="1" x14ac:dyDescent="0.2">
      <c r="A293" s="32"/>
      <c r="B293" s="32"/>
      <c r="C293" s="32"/>
      <c r="D293" s="32"/>
      <c r="E293" s="32"/>
      <c r="F293" s="32"/>
      <c r="G293" s="32"/>
      <c r="H293" s="32"/>
      <c r="I293" s="32"/>
    </row>
    <row r="294" spans="1:9" hidden="1" x14ac:dyDescent="0.2">
      <c r="A294" s="32"/>
      <c r="B294" s="32"/>
      <c r="C294" s="32"/>
      <c r="D294" s="32"/>
      <c r="E294" s="32"/>
      <c r="F294" s="32"/>
      <c r="G294" s="32"/>
      <c r="H294" s="32"/>
      <c r="I294" s="32"/>
    </row>
    <row r="295" spans="1:9" hidden="1" x14ac:dyDescent="0.2">
      <c r="A295" s="32"/>
      <c r="B295" s="32"/>
      <c r="C295" s="32"/>
      <c r="D295" s="32"/>
      <c r="E295" s="32"/>
      <c r="F295" s="32"/>
      <c r="G295" s="32"/>
      <c r="H295" s="32"/>
      <c r="I295" s="32"/>
    </row>
    <row r="296" spans="1:9" hidden="1" x14ac:dyDescent="0.2">
      <c r="A296" s="32"/>
      <c r="B296" s="32"/>
      <c r="C296" s="32"/>
      <c r="D296" s="32"/>
      <c r="E296" s="32"/>
      <c r="F296" s="32"/>
      <c r="G296" s="32"/>
      <c r="H296" s="32"/>
      <c r="I296" s="32"/>
    </row>
    <row r="297" spans="1:9" hidden="1" x14ac:dyDescent="0.2">
      <c r="A297" s="32"/>
      <c r="B297" s="32"/>
      <c r="C297" s="32"/>
      <c r="D297" s="32"/>
      <c r="E297" s="32"/>
      <c r="F297" s="32"/>
      <c r="G297" s="32"/>
      <c r="H297" s="32"/>
      <c r="I297" s="32"/>
    </row>
    <row r="298" spans="1:9" x14ac:dyDescent="0.2">
      <c r="A298" s="32"/>
      <c r="B298" s="32"/>
      <c r="C298" s="32"/>
      <c r="D298" s="32"/>
      <c r="E298" s="32"/>
      <c r="F298" s="32"/>
      <c r="G298" s="32"/>
      <c r="H298" s="32"/>
      <c r="I298" s="32"/>
    </row>
    <row r="299" spans="1:9" x14ac:dyDescent="0.2">
      <c r="A299" s="32"/>
      <c r="B299" s="32"/>
      <c r="C299" s="278" t="s">
        <v>190</v>
      </c>
      <c r="D299" s="32"/>
      <c r="E299" s="32"/>
      <c r="F299" s="32"/>
      <c r="G299" s="32"/>
      <c r="H299" s="32"/>
      <c r="I299" s="32"/>
    </row>
    <row r="300" spans="1:9" x14ac:dyDescent="0.2">
      <c r="A300" s="182">
        <v>1</v>
      </c>
      <c r="B300" s="589" t="str">
        <f>IFERROR(INDEX(H$100:H$300,MATCH(A300&amp;". koht",H$101:H$301,0)),"")</f>
        <v>Aarne Välja, Janek Tarto, Romek Tarto</v>
      </c>
      <c r="C300" s="55">
        <v>40</v>
      </c>
      <c r="F300" s="32"/>
      <c r="G300" s="32"/>
      <c r="H300" s="188"/>
      <c r="I300" s="32"/>
    </row>
    <row r="301" spans="1:9" x14ac:dyDescent="0.2">
      <c r="A301" s="182">
        <v>2</v>
      </c>
      <c r="B301" s="590" t="str">
        <f t="shared" ref="B301:B308" si="7">IFERROR(INDEX(H$100:H$300,MATCH(A301&amp;". koht",H$101:H$301,0)),"")</f>
        <v>Jaan Sepp, Mait Metsla, Matti Vinni</v>
      </c>
      <c r="C301" s="55">
        <v>34</v>
      </c>
      <c r="F301" s="32"/>
      <c r="G301" s="32"/>
      <c r="H301" s="32"/>
      <c r="I301" s="32"/>
    </row>
    <row r="302" spans="1:9" x14ac:dyDescent="0.2">
      <c r="A302" s="182">
        <v>3</v>
      </c>
      <c r="B302" s="591" t="str">
        <f t="shared" si="7"/>
        <v>Boriss Klubov, Elmo Lageda, Tõnu Piik</v>
      </c>
      <c r="C302" s="55">
        <v>30</v>
      </c>
      <c r="F302" s="32"/>
      <c r="G302" s="32"/>
      <c r="H302" s="32"/>
      <c r="I302" s="32"/>
    </row>
    <row r="303" spans="1:9" x14ac:dyDescent="0.2">
      <c r="A303" s="182">
        <v>4</v>
      </c>
      <c r="B303" s="175" t="str">
        <f t="shared" si="7"/>
        <v>Henri Mitt, Karla Purgats, Urmas Jõeäär</v>
      </c>
      <c r="C303" s="55">
        <v>26</v>
      </c>
      <c r="F303" s="32"/>
      <c r="G303" s="32"/>
      <c r="H303" s="32"/>
      <c r="I303" s="32"/>
    </row>
    <row r="304" spans="1:9" x14ac:dyDescent="0.2">
      <c r="A304" s="182">
        <v>5</v>
      </c>
      <c r="B304" s="175" t="str">
        <f t="shared" si="7"/>
        <v>Andres Veski, Kenneth Muusikus, Svetlana Veski</v>
      </c>
      <c r="C304" s="32">
        <v>24</v>
      </c>
      <c r="F304" s="32"/>
      <c r="G304" s="32"/>
      <c r="H304" s="32"/>
      <c r="I304" s="32"/>
    </row>
    <row r="305" spans="1:9" x14ac:dyDescent="0.2">
      <c r="A305" s="182">
        <v>6</v>
      </c>
      <c r="B305" s="175" t="str">
        <f t="shared" si="7"/>
        <v>Ivar Viljaste, Meelis Luud, Sirje Viljaste</v>
      </c>
      <c r="C305" s="32">
        <v>22</v>
      </c>
      <c r="F305" s="32"/>
      <c r="G305" s="32"/>
      <c r="H305" s="32"/>
      <c r="I305" s="32"/>
    </row>
    <row r="306" spans="1:9" x14ac:dyDescent="0.2">
      <c r="A306" s="182">
        <v>7</v>
      </c>
      <c r="B306" s="175" t="str">
        <f t="shared" si="7"/>
        <v>Brigitta Neiland, Einar Juhkam, Johannes Neiland, Väino Aul</v>
      </c>
      <c r="C306" s="32">
        <v>20</v>
      </c>
      <c r="F306" s="32"/>
      <c r="G306" s="32"/>
      <c r="H306" s="32"/>
      <c r="I306" s="32"/>
    </row>
    <row r="307" spans="1:9" x14ac:dyDescent="0.2">
      <c r="A307" s="182">
        <v>8</v>
      </c>
      <c r="B307" s="175" t="str">
        <f t="shared" si="7"/>
        <v>Peep Peenema, Tõnu Kapper, Vladimir Ogneštšikov</v>
      </c>
      <c r="C307" s="32">
        <v>18</v>
      </c>
      <c r="F307" s="32"/>
      <c r="G307" s="32"/>
      <c r="H307" s="32"/>
      <c r="I307" s="32"/>
    </row>
    <row r="308" spans="1:9" x14ac:dyDescent="0.2">
      <c r="A308" s="182">
        <v>9</v>
      </c>
      <c r="B308" s="175" t="str">
        <f t="shared" si="7"/>
        <v>Enn Tokman, Jaan Saar, Tarmo Bombe</v>
      </c>
      <c r="C308" s="32">
        <v>16</v>
      </c>
      <c r="F308" s="32"/>
      <c r="G308" s="32"/>
      <c r="H308" s="32"/>
      <c r="I308" s="32"/>
    </row>
    <row r="309" spans="1:9" x14ac:dyDescent="0.2">
      <c r="A309" s="182">
        <v>10</v>
      </c>
      <c r="B309" s="175" t="str">
        <f t="shared" ref="B309" si="8">IFERROR(INDEX(H$100:H$300,MATCH(A309&amp;". koht",H$101:H$301,0)),"")</f>
        <v>Oksana Sažina, Oleg Rõndenkov, Toomas Tedrekull</v>
      </c>
      <c r="C309" s="32">
        <v>14</v>
      </c>
    </row>
  </sheetData>
  <conditionalFormatting sqref="C29">
    <cfRule type="aboveAverage" dxfId="2713" priority="164"/>
  </conditionalFormatting>
  <conditionalFormatting sqref="E29">
    <cfRule type="aboveAverage" dxfId="2712" priority="163"/>
  </conditionalFormatting>
  <conditionalFormatting sqref="F29">
    <cfRule type="aboveAverage" dxfId="2711" priority="162"/>
  </conditionalFormatting>
  <conditionalFormatting sqref="G29">
    <cfRule type="aboveAverage" dxfId="2710" priority="161"/>
  </conditionalFormatting>
  <conditionalFormatting sqref="H18">
    <cfRule type="expression" dxfId="2709" priority="165">
      <formula>AND(#REF!=1,IF(COUNTIF(#REF!,"=1")&gt;=2,TRUE))</formula>
    </cfRule>
    <cfRule type="expression" dxfId="2708" priority="166">
      <formula>AND(#REF!=3,IF(COUNTIF(#REF!,"=3")&gt;=2,TRUE))</formula>
    </cfRule>
    <cfRule type="expression" dxfId="2707" priority="167">
      <formula>AND(#REF!=2,IF(COUNTIF(#REF!,"=2")&gt;=2,TRUE))</formula>
    </cfRule>
  </conditionalFormatting>
  <conditionalFormatting sqref="H21:H25">
    <cfRule type="expression" dxfId="2706" priority="168">
      <formula>AND(#REF!=1,IF(COUNTIF(#REF!,"=1")&gt;=2,TRUE))</formula>
    </cfRule>
    <cfRule type="expression" dxfId="2705" priority="169">
      <formula>AND(#REF!=3,IF(COUNTIF(#REF!,"=3")&gt;=2,TRUE))</formula>
    </cfRule>
    <cfRule type="expression" dxfId="2704" priority="170">
      <formula>AND(#REF!=2,IF(COUNTIF(#REF!,"=2")&gt;=2,TRUE))</formula>
    </cfRule>
  </conditionalFormatting>
  <conditionalFormatting sqref="H28:H29">
    <cfRule type="expression" dxfId="2703" priority="171">
      <formula>AND(#REF!=1,IF(COUNTIF(#REF!,"=1")&gt;=2,TRUE))</formula>
    </cfRule>
    <cfRule type="expression" dxfId="2702" priority="172">
      <formula>AND(#REF!=3,IF(COUNTIF(#REF!,"=3")&gt;=2,TRUE))</formula>
    </cfRule>
    <cfRule type="expression" dxfId="2701" priority="173">
      <formula>AND(#REF!=2,IF(COUNTIF(#REF!,"=2")&gt;=2,TRUE))</formula>
    </cfRule>
  </conditionalFormatting>
  <conditionalFormatting sqref="B8:B10">
    <cfRule type="duplicateValues" dxfId="2700" priority="160"/>
  </conditionalFormatting>
  <conditionalFormatting sqref="B25:B28">
    <cfRule type="duplicateValues" dxfId="2699" priority="159"/>
  </conditionalFormatting>
  <conditionalFormatting sqref="B19:B22">
    <cfRule type="duplicateValues" dxfId="2698" priority="158"/>
  </conditionalFormatting>
  <conditionalFormatting sqref="B14:B16">
    <cfRule type="duplicateValues" dxfId="2697" priority="157"/>
  </conditionalFormatting>
  <conditionalFormatting sqref="G7:G10">
    <cfRule type="containsText" dxfId="2696" priority="155" operator="containsText" text="2">
      <formula>NOT(ISERROR(SEARCH("2",G7)))</formula>
    </cfRule>
    <cfRule type="containsText" dxfId="2695" priority="156" operator="containsText" text="1">
      <formula>NOT(ISERROR(SEARCH("1",G7)))</formula>
    </cfRule>
  </conditionalFormatting>
  <conditionalFormatting sqref="G10">
    <cfRule type="expression" dxfId="2694" priority="154">
      <formula>B10="-"</formula>
    </cfRule>
  </conditionalFormatting>
  <conditionalFormatting sqref="C7">
    <cfRule type="aboveAverage" dxfId="2693" priority="153"/>
  </conditionalFormatting>
  <conditionalFormatting sqref="C8:C9">
    <cfRule type="aboveAverage" dxfId="2692" priority="152"/>
  </conditionalFormatting>
  <conditionalFormatting sqref="G13:G16">
    <cfRule type="containsText" dxfId="2691" priority="150" operator="containsText" text="2">
      <formula>NOT(ISERROR(SEARCH("2",G13)))</formula>
    </cfRule>
    <cfRule type="containsText" dxfId="2690" priority="151" operator="containsText" text="1">
      <formula>NOT(ISERROR(SEARCH("1",G13)))</formula>
    </cfRule>
  </conditionalFormatting>
  <conditionalFormatting sqref="G16">
    <cfRule type="expression" dxfId="2689" priority="149">
      <formula>B16="-"</formula>
    </cfRule>
  </conditionalFormatting>
  <conditionalFormatting sqref="C13 C16">
    <cfRule type="aboveAverage" dxfId="2688" priority="148"/>
  </conditionalFormatting>
  <conditionalFormatting sqref="C14:C15">
    <cfRule type="aboveAverage" dxfId="2687" priority="147"/>
  </conditionalFormatting>
  <conditionalFormatting sqref="G19:G22">
    <cfRule type="containsText" dxfId="2686" priority="145" operator="containsText" text="2">
      <formula>NOT(ISERROR(SEARCH("2",G19)))</formula>
    </cfRule>
    <cfRule type="containsText" dxfId="2685" priority="146" operator="containsText" text="1">
      <formula>NOT(ISERROR(SEARCH("1",G19)))</formula>
    </cfRule>
  </conditionalFormatting>
  <conditionalFormatting sqref="G22">
    <cfRule type="expression" dxfId="2684" priority="144">
      <formula>B22="-"</formula>
    </cfRule>
  </conditionalFormatting>
  <conditionalFormatting sqref="C19 C22">
    <cfRule type="aboveAverage" dxfId="2683" priority="143"/>
  </conditionalFormatting>
  <conditionalFormatting sqref="C20:C21">
    <cfRule type="aboveAverage" dxfId="2682" priority="142"/>
  </conditionalFormatting>
  <conditionalFormatting sqref="G25:G28">
    <cfRule type="containsText" dxfId="2681" priority="140" operator="containsText" text="2">
      <formula>NOT(ISERROR(SEARCH("2",G25)))</formula>
    </cfRule>
    <cfRule type="containsText" dxfId="2680" priority="141" operator="containsText" text="1">
      <formula>NOT(ISERROR(SEARCH("1",G25)))</formula>
    </cfRule>
  </conditionalFormatting>
  <conditionalFormatting sqref="G28">
    <cfRule type="expression" dxfId="2679" priority="139">
      <formula>B28="-"</formula>
    </cfRule>
  </conditionalFormatting>
  <conditionalFormatting sqref="C25 C28">
    <cfRule type="aboveAverage" dxfId="2678" priority="138"/>
  </conditionalFormatting>
  <conditionalFormatting sqref="C26:C27">
    <cfRule type="aboveAverage" dxfId="2677" priority="137"/>
  </conditionalFormatting>
  <conditionalFormatting sqref="E7">
    <cfRule type="expression" dxfId="2676" priority="136">
      <formula>AND(COUNT(E7:E10)&lt;2,IF(ISNUMBER(C7),C10&gt;C7))</formula>
    </cfRule>
  </conditionalFormatting>
  <conditionalFormatting sqref="E8">
    <cfRule type="expression" dxfId="2675" priority="135">
      <formula>AND(COUNT(E7:E10)&lt;2,IF(ISNUMBER(C8),C9&gt;C8))</formula>
    </cfRule>
  </conditionalFormatting>
  <conditionalFormatting sqref="E9">
    <cfRule type="expression" dxfId="2674" priority="134">
      <formula>AND(COUNT(E7:E10)&lt;2,IF(ISNUMBER(C9),C8&gt;C9))</formula>
    </cfRule>
  </conditionalFormatting>
  <conditionalFormatting sqref="E7:E9">
    <cfRule type="aboveAverage" dxfId="2673" priority="133"/>
  </conditionalFormatting>
  <conditionalFormatting sqref="F7">
    <cfRule type="expression" dxfId="2672" priority="128">
      <formula>AND(COUNT(F7:F10)&lt;2,IF(COUNT(E7:E10)=2,IF(AND(ISNUMBER(E7),COUNTIF(E7:E10,E7)=1,E7=MAX(E7:E10)),TRUE,FALSE)))</formula>
    </cfRule>
    <cfRule type="expression" dxfId="2671" priority="132">
      <formula>AND(COUNT(F7:F10)&lt;2,IF(COUNT(D7:D10)=2,IF(AND(ISNUMBER(D7),COUNTIF(D7:D10,D7)=1,D7=MIN(D7:D10)),TRUE,FALSE)))</formula>
    </cfRule>
  </conditionalFormatting>
  <conditionalFormatting sqref="F8">
    <cfRule type="expression" dxfId="2670" priority="127">
      <formula>AND(COUNT(F7:F10)&lt;2,IF(COUNT(E7:E10)=2,IF(AND(ISNUMBER(E8),COUNTIF(E7:E10,E8)=1,E8=MAX(E7:E10)),TRUE,FALSE)))</formula>
    </cfRule>
    <cfRule type="expression" dxfId="2669" priority="131">
      <formula>AND(COUNT(F7:F10)&lt;2,IF(COUNT(D7:D10)=2,IF(AND(ISNUMBER(D8),COUNTIF(D7:D10,D8)=1,D8=MIN(D7:D10)),TRUE,FALSE)))</formula>
    </cfRule>
  </conditionalFormatting>
  <conditionalFormatting sqref="F9">
    <cfRule type="expression" dxfId="2668" priority="126">
      <formula>AND(COUNT(F7:F10)&lt;2,IF(COUNT(E7:E10)=2,IF(AND(ISNUMBER(E9),COUNTIF(E7:E10,E9)=1,E9=MAX(E7:E10)),TRUE,FALSE)))</formula>
    </cfRule>
    <cfRule type="expression" dxfId="2667" priority="130">
      <formula>AND(COUNT(F7:F10)&lt;2,IF(COUNT(D7:D10)=2,IF(AND(ISNUMBER(D9),COUNTIF(D7:D10,D9)=1,D9=MIN(D7:D10)),TRUE,FALSE)))</formula>
    </cfRule>
  </conditionalFormatting>
  <conditionalFormatting sqref="F10">
    <cfRule type="expression" dxfId="2666" priority="125">
      <formula>AND(COUNT(F7:F10)&lt;2,IF(COUNT(E7:E10)=2,IF(AND(ISNUMBER(E10),COUNTIF(E7:E10,E10)=1,E10=MAX(E7:E10)),TRUE,FALSE)))</formula>
    </cfRule>
    <cfRule type="expression" dxfId="2665" priority="129">
      <formula>AND(COUNT(F7:F10)&lt;2,IF(COUNT(D7:D10)=2,IF(AND(ISNUMBER(D10),COUNTIF(D7:D10,D10)=1,D10=MIN(D7:D10)),TRUE,FALSE)))</formula>
    </cfRule>
  </conditionalFormatting>
  <conditionalFormatting sqref="F7:F10">
    <cfRule type="aboveAverage" dxfId="2664" priority="124"/>
  </conditionalFormatting>
  <conditionalFormatting sqref="D7">
    <cfRule type="expression" dxfId="2663" priority="123">
      <formula>AND(COUNT(D7:D10)&lt;2,IF(ISNUMBER(C10),C7&gt;C10))</formula>
    </cfRule>
  </conditionalFormatting>
  <conditionalFormatting sqref="D8">
    <cfRule type="expression" dxfId="2662" priority="122">
      <formula>AND(COUNT(D7:D10)&lt;2,IF(ISNUMBER(C9),C8&gt;C9))</formula>
    </cfRule>
  </conditionalFormatting>
  <conditionalFormatting sqref="D9">
    <cfRule type="expression" dxfId="2661" priority="121">
      <formula>AND(COUNT(D7:D10)&lt;2,IF(ISNUMBER(C8),C9&gt;C8))</formula>
    </cfRule>
  </conditionalFormatting>
  <conditionalFormatting sqref="D10">
    <cfRule type="expression" dxfId="2660" priority="120">
      <formula>AND(COUNT(D7:D10)&lt;2,IF(ISNUMBER(C7),C10&gt;C7))</formula>
    </cfRule>
  </conditionalFormatting>
  <conditionalFormatting sqref="D7:D10">
    <cfRule type="aboveAverage" dxfId="2659" priority="119"/>
  </conditionalFormatting>
  <conditionalFormatting sqref="E16">
    <cfRule type="expression" dxfId="2658" priority="118">
      <formula>AND(COUNT(E13:E16)&lt;2,IF(ISNUMBER(C16),C13&gt;C16))</formula>
    </cfRule>
  </conditionalFormatting>
  <conditionalFormatting sqref="E13">
    <cfRule type="expression" dxfId="2657" priority="117">
      <formula>AND(COUNT(E13:E16)&lt;2,IF(ISNUMBER(C13),C16&gt;C13))</formula>
    </cfRule>
  </conditionalFormatting>
  <conditionalFormatting sqref="E14">
    <cfRule type="expression" dxfId="2656" priority="116">
      <formula>AND(COUNT(E13:E16)&lt;2,IF(ISNUMBER(C14),C15&gt;C14))</formula>
    </cfRule>
  </conditionalFormatting>
  <conditionalFormatting sqref="E15">
    <cfRule type="expression" dxfId="2655" priority="115">
      <formula>AND(COUNT(E13:E16)&lt;2,IF(ISNUMBER(C15),C14&gt;C15))</formula>
    </cfRule>
  </conditionalFormatting>
  <conditionalFormatting sqref="E13:E16">
    <cfRule type="aboveAverage" dxfId="2654" priority="114"/>
  </conditionalFormatting>
  <conditionalFormatting sqref="F13">
    <cfRule type="expression" dxfId="2653" priority="109">
      <formula>AND(COUNT(F13:F16)&lt;2,IF(COUNT(E13:E16)=2,IF(AND(ISNUMBER(E13),COUNTIF(E13:E16,E13)=1,E13=MAX(E13:E16)),TRUE,FALSE)))</formula>
    </cfRule>
    <cfRule type="expression" dxfId="2652" priority="113">
      <formula>AND(COUNT(F13:F16)&lt;2,IF(COUNT(D13:D16)=2,IF(AND(ISNUMBER(D13),COUNTIF(D13:D16,D13)=1,D13=MIN(D13:D16)),TRUE,FALSE)))</formula>
    </cfRule>
  </conditionalFormatting>
  <conditionalFormatting sqref="F14">
    <cfRule type="expression" dxfId="2651" priority="108">
      <formula>AND(COUNT(F13:F16)&lt;2,IF(COUNT(E13:E16)=2,IF(AND(ISNUMBER(E14),COUNTIF(E13:E16,E14)=1,E14=MAX(E13:E16)),TRUE,FALSE)))</formula>
    </cfRule>
    <cfRule type="expression" dxfId="2650" priority="112">
      <formula>AND(COUNT(F13:F16)&lt;2,IF(COUNT(D13:D16)=2,IF(AND(ISNUMBER(D14),COUNTIF(D13:D16,D14)=1,D14=MIN(D13:D16)),TRUE,FALSE)))</formula>
    </cfRule>
  </conditionalFormatting>
  <conditionalFormatting sqref="F15">
    <cfRule type="expression" dxfId="2649" priority="107">
      <formula>AND(COUNT(F13:F16)&lt;2,IF(COUNT(E13:E16)=2,IF(AND(ISNUMBER(E15),COUNTIF(E13:E16,E15)=1,E15=MAX(E13:E16)),TRUE,FALSE)))</formula>
    </cfRule>
    <cfRule type="expression" dxfId="2648" priority="111">
      <formula>AND(COUNT(F13:F16)&lt;2,IF(COUNT(D13:D16)=2,IF(AND(ISNUMBER(D15),COUNTIF(D13:D16,D15)=1,D15=MIN(D13:D16)),TRUE,FALSE)))</formula>
    </cfRule>
  </conditionalFormatting>
  <conditionalFormatting sqref="F16">
    <cfRule type="expression" dxfId="2647" priority="106">
      <formula>AND(COUNT(F13:F16)&lt;2,IF(COUNT(E13:E16)=2,IF(AND(ISNUMBER(E16),COUNTIF(E13:E16,E16)=1,E16=MAX(E13:E16)),TRUE,FALSE)))</formula>
    </cfRule>
    <cfRule type="expression" dxfId="2646" priority="110">
      <formula>AND(COUNT(F13:F16)&lt;2,IF(COUNT(D13:D16)=2,IF(AND(ISNUMBER(D16),COUNTIF(D13:D16,D16)=1,D16=MIN(D13:D16)),TRUE,FALSE)))</formula>
    </cfRule>
  </conditionalFormatting>
  <conditionalFormatting sqref="F13:F16">
    <cfRule type="aboveAverage" dxfId="2645" priority="105"/>
  </conditionalFormatting>
  <conditionalFormatting sqref="D13">
    <cfRule type="expression" dxfId="2644" priority="104">
      <formula>AND(COUNT(D13:D16)&lt;2,IF(ISNUMBER(C16),C13&gt;C16))</formula>
    </cfRule>
  </conditionalFormatting>
  <conditionalFormatting sqref="D14">
    <cfRule type="expression" dxfId="2643" priority="103">
      <formula>AND(COUNT(D13:D16)&lt;2,IF(ISNUMBER(C15),C14&gt;C15))</formula>
    </cfRule>
  </conditionalFormatting>
  <conditionalFormatting sqref="D15">
    <cfRule type="expression" dxfId="2642" priority="102">
      <formula>AND(COUNT(D13:D16)&lt;2,IF(ISNUMBER(C14),C15&gt;C14))</formula>
    </cfRule>
  </conditionalFormatting>
  <conditionalFormatting sqref="D16">
    <cfRule type="expression" dxfId="2641" priority="101">
      <formula>AND(COUNT(D13:D16)&lt;2,IF(ISNUMBER(C13),C16&gt;C13))</formula>
    </cfRule>
  </conditionalFormatting>
  <conditionalFormatting sqref="D13:D16">
    <cfRule type="aboveAverage" dxfId="2640" priority="100"/>
  </conditionalFormatting>
  <conditionalFormatting sqref="E22">
    <cfRule type="expression" dxfId="2639" priority="99">
      <formula>AND(COUNT(E19:E22)&lt;2,IF(ISNUMBER(C22),C19&gt;C22))</formula>
    </cfRule>
  </conditionalFormatting>
  <conditionalFormatting sqref="E19">
    <cfRule type="expression" dxfId="2638" priority="98">
      <formula>AND(COUNT(E19:E22)&lt;2,IF(ISNUMBER(C19),C22&gt;C19))</formula>
    </cfRule>
  </conditionalFormatting>
  <conditionalFormatting sqref="E20">
    <cfRule type="expression" dxfId="2637" priority="97">
      <formula>AND(COUNT(E19:E22)&lt;2,IF(ISNUMBER(C20),C21&gt;C20))</formula>
    </cfRule>
  </conditionalFormatting>
  <conditionalFormatting sqref="E21">
    <cfRule type="expression" dxfId="2636" priority="96">
      <formula>AND(COUNT(E19:E22)&lt;2,IF(ISNUMBER(C21),C20&gt;C21))</formula>
    </cfRule>
  </conditionalFormatting>
  <conditionalFormatting sqref="E19:E22">
    <cfRule type="aboveAverage" dxfId="2635" priority="95"/>
  </conditionalFormatting>
  <conditionalFormatting sqref="F19">
    <cfRule type="expression" dxfId="2634" priority="90">
      <formula>AND(COUNT(F19:F22)&lt;2,IF(COUNT(E19:E22)=2,IF(AND(ISNUMBER(E19),COUNTIF(E19:E22,E19)=1,E19=MAX(E19:E22)),TRUE,FALSE)))</formula>
    </cfRule>
    <cfRule type="expression" dxfId="2633" priority="94">
      <formula>AND(COUNT(F19:F22)&lt;2,IF(COUNT(D19:D22)=2,IF(AND(ISNUMBER(D19),COUNTIF(D19:D22,D19)=1,D19=MIN(D19:D22)),TRUE,FALSE)))</formula>
    </cfRule>
  </conditionalFormatting>
  <conditionalFormatting sqref="F20">
    <cfRule type="expression" dxfId="2632" priority="89">
      <formula>AND(COUNT(F19:F22)&lt;2,IF(COUNT(E19:E22)=2,IF(AND(ISNUMBER(E20),COUNTIF(E19:E22,E20)=1,E20=MAX(E19:E22)),TRUE,FALSE)))</formula>
    </cfRule>
    <cfRule type="expression" dxfId="2631" priority="93">
      <formula>AND(COUNT(F19:F22)&lt;2,IF(COUNT(D19:D22)=2,IF(AND(ISNUMBER(D20),COUNTIF(D19:D22,D20)=1,D20=MIN(D19:D22)),TRUE,FALSE)))</formula>
    </cfRule>
  </conditionalFormatting>
  <conditionalFormatting sqref="F21">
    <cfRule type="expression" dxfId="2630" priority="88">
      <formula>AND(COUNT(F19:F22)&lt;2,IF(COUNT(E19:E22)=2,IF(AND(ISNUMBER(E21),COUNTIF(E19:E22,E21)=1,E21=MAX(E19:E22)),TRUE,FALSE)))</formula>
    </cfRule>
    <cfRule type="expression" dxfId="2629" priority="92">
      <formula>AND(COUNT(F19:F22)&lt;2,IF(COUNT(D19:D22)=2,IF(AND(ISNUMBER(D21),COUNTIF(D19:D22,D21)=1,D21=MIN(D19:D22)),TRUE,FALSE)))</formula>
    </cfRule>
  </conditionalFormatting>
  <conditionalFormatting sqref="F22">
    <cfRule type="expression" dxfId="2628" priority="87">
      <formula>AND(COUNT(F19:F22)&lt;2,IF(COUNT(E19:E22)=2,IF(AND(ISNUMBER(E22),COUNTIF(E19:E22,E22)=1,E22=MAX(E19:E22)),TRUE,FALSE)))</formula>
    </cfRule>
    <cfRule type="expression" dxfId="2627" priority="91">
      <formula>AND(COUNT(F19:F22)&lt;2,IF(COUNT(D19:D22)=2,IF(AND(ISNUMBER(D22),COUNTIF(D19:D22,D22)=1,D22=MIN(D19:D22)),TRUE,FALSE)))</formula>
    </cfRule>
  </conditionalFormatting>
  <conditionalFormatting sqref="F19:F22">
    <cfRule type="aboveAverage" dxfId="2626" priority="86"/>
  </conditionalFormatting>
  <conditionalFormatting sqref="D19">
    <cfRule type="expression" dxfId="2625" priority="85">
      <formula>AND(COUNT(D19:D22)&lt;2,IF(ISNUMBER(C22),C19&gt;C22))</formula>
    </cfRule>
  </conditionalFormatting>
  <conditionalFormatting sqref="D20">
    <cfRule type="expression" dxfId="2624" priority="84">
      <formula>AND(COUNT(D19:D22)&lt;2,IF(ISNUMBER(C21),C20&gt;C21))</formula>
    </cfRule>
  </conditionalFormatting>
  <conditionalFormatting sqref="D21">
    <cfRule type="expression" dxfId="2623" priority="83">
      <formula>AND(COUNT(D19:D22)&lt;2,IF(ISNUMBER(C20),C21&gt;C20))</formula>
    </cfRule>
  </conditionalFormatting>
  <conditionalFormatting sqref="D22">
    <cfRule type="expression" dxfId="2622" priority="82">
      <formula>AND(COUNT(D19:D22)&lt;2,IF(ISNUMBER(C19),C22&gt;C19))</formula>
    </cfRule>
  </conditionalFormatting>
  <conditionalFormatting sqref="D19:D22">
    <cfRule type="aboveAverage" dxfId="2621" priority="81"/>
  </conditionalFormatting>
  <conditionalFormatting sqref="E28">
    <cfRule type="expression" dxfId="2620" priority="80">
      <formula>AND(COUNT(E25:E28)&lt;2,IF(ISNUMBER(C28),C25&gt;C28))</formula>
    </cfRule>
  </conditionalFormatting>
  <conditionalFormatting sqref="E25">
    <cfRule type="expression" dxfId="2619" priority="79">
      <formula>AND(COUNT(E25:E28)&lt;2,IF(ISNUMBER(C25),C28&gt;C25))</formula>
    </cfRule>
  </conditionalFormatting>
  <conditionalFormatting sqref="E26">
    <cfRule type="expression" dxfId="2618" priority="78">
      <formula>AND(COUNT(E25:E28)&lt;2,IF(ISNUMBER(C26),C27&gt;C26))</formula>
    </cfRule>
  </conditionalFormatting>
  <conditionalFormatting sqref="E27">
    <cfRule type="expression" dxfId="2617" priority="77">
      <formula>AND(COUNT(E25:E28)&lt;2,IF(ISNUMBER(C27),C26&gt;C27))</formula>
    </cfRule>
  </conditionalFormatting>
  <conditionalFormatting sqref="E25:E28">
    <cfRule type="aboveAverage" dxfId="2616" priority="76"/>
  </conditionalFormatting>
  <conditionalFormatting sqref="F25">
    <cfRule type="expression" dxfId="2615" priority="71">
      <formula>AND(COUNT(F25:F28)&lt;2,IF(COUNT(E25:E28)=2,IF(AND(ISNUMBER(E25),COUNTIF(E25:E28,E25)=1,E25=MAX(E25:E28)),TRUE,FALSE)))</formula>
    </cfRule>
    <cfRule type="expression" dxfId="2614" priority="75">
      <formula>AND(COUNT(F25:F28)&lt;2,IF(COUNT(D25:D28)=2,IF(AND(ISNUMBER(D25),COUNTIF(D25:D28,D25)=1,D25=MIN(D25:D28)),TRUE,FALSE)))</formula>
    </cfRule>
  </conditionalFormatting>
  <conditionalFormatting sqref="F26">
    <cfRule type="expression" dxfId="2613" priority="70">
      <formula>AND(COUNT(F25:F28)&lt;2,IF(COUNT(E25:E28)=2,IF(AND(ISNUMBER(E26),COUNTIF(E25:E28,E26)=1,E26=MAX(E25:E28)),TRUE,FALSE)))</formula>
    </cfRule>
    <cfRule type="expression" dxfId="2612" priority="74">
      <formula>AND(COUNT(F25:F28)&lt;2,IF(COUNT(D25:D28)=2,IF(AND(ISNUMBER(D26),COUNTIF(D25:D28,D26)=1,D26=MIN(D25:D28)),TRUE,FALSE)))</formula>
    </cfRule>
  </conditionalFormatting>
  <conditionalFormatting sqref="F27">
    <cfRule type="expression" dxfId="2611" priority="69">
      <formula>AND(COUNT(F25:F28)&lt;2,IF(COUNT(E25:E28)=2,IF(AND(ISNUMBER(E27),COUNTIF(E25:E28,E27)=1,E27=MAX(E25:E28)),TRUE,FALSE)))</formula>
    </cfRule>
    <cfRule type="expression" dxfId="2610" priority="73">
      <formula>AND(COUNT(F25:F28)&lt;2,IF(COUNT(D25:D28)=2,IF(AND(ISNUMBER(D27),COUNTIF(D25:D28,D27)=1,D27=MIN(D25:D28)),TRUE,FALSE)))</formula>
    </cfRule>
  </conditionalFormatting>
  <conditionalFormatting sqref="F28">
    <cfRule type="expression" dxfId="2609" priority="68">
      <formula>AND(COUNT(F25:F28)&lt;2,IF(COUNT(E25:E28)=2,IF(AND(ISNUMBER(E28),COUNTIF(E25:E28,E28)=1,E28=MAX(E25:E28)),TRUE,FALSE)))</formula>
    </cfRule>
    <cfRule type="expression" dxfId="2608" priority="72">
      <formula>AND(COUNT(F25:F28)&lt;2,IF(COUNT(D25:D28)=2,IF(AND(ISNUMBER(D28),COUNTIF(D25:D28,D28)=1,D28=MIN(D25:D28)),TRUE,FALSE)))</formula>
    </cfRule>
  </conditionalFormatting>
  <conditionalFormatting sqref="F25:F28">
    <cfRule type="aboveAverage" dxfId="2607" priority="67"/>
  </conditionalFormatting>
  <conditionalFormatting sqref="D25">
    <cfRule type="expression" dxfId="2606" priority="66">
      <formula>AND(COUNT(D25:D28)&lt;2,IF(ISNUMBER(C28),C25&gt;C28))</formula>
    </cfRule>
  </conditionalFormatting>
  <conditionalFormatting sqref="D26">
    <cfRule type="expression" dxfId="2605" priority="65">
      <formula>AND(COUNT(D25:D28)&lt;2,IF(ISNUMBER(C27),C26&gt;C27))</formula>
    </cfRule>
  </conditionalFormatting>
  <conditionalFormatting sqref="D27">
    <cfRule type="expression" dxfId="2604" priority="64">
      <formula>AND(COUNT(D25:D28)&lt;2,IF(ISNUMBER(C26),C27&gt;C26))</formula>
    </cfRule>
  </conditionalFormatting>
  <conditionalFormatting sqref="D28">
    <cfRule type="expression" dxfId="2603" priority="63">
      <formula>AND(COUNT(D25:D28)&lt;2,IF(ISNUMBER(C25),C28&gt;C25))</formula>
    </cfRule>
  </conditionalFormatting>
  <conditionalFormatting sqref="D25:D28">
    <cfRule type="aboveAverage" dxfId="2602" priority="62"/>
  </conditionalFormatting>
  <conditionalFormatting sqref="A102:A116">
    <cfRule type="cellIs" dxfId="2601" priority="60" operator="equal">
      <formula>"-"</formula>
    </cfRule>
    <cfRule type="duplicateValues" dxfId="2600" priority="61"/>
  </conditionalFormatting>
  <conditionalFormatting sqref="C10">
    <cfRule type="aboveAverage" dxfId="2599" priority="59"/>
  </conditionalFormatting>
  <conditionalFormatting sqref="E10">
    <cfRule type="expression" dxfId="2598" priority="58">
      <formula>AND(COUNT(E7:E10)&lt;2,IF(ISNUMBER(C10),C7&gt;C10))</formula>
    </cfRule>
  </conditionalFormatting>
  <conditionalFormatting sqref="E10">
    <cfRule type="aboveAverage" dxfId="2597" priority="57"/>
  </conditionalFormatting>
  <conditionalFormatting sqref="C102 C104">
    <cfRule type="aboveAverage" dxfId="2596" priority="56"/>
  </conditionalFormatting>
  <conditionalFormatting sqref="C106 C108">
    <cfRule type="aboveAverage" dxfId="2595" priority="55"/>
  </conditionalFormatting>
  <conditionalFormatting sqref="E103 E107">
    <cfRule type="aboveAverage" dxfId="2594" priority="54"/>
  </conditionalFormatting>
  <conditionalFormatting sqref="C110 C112">
    <cfRule type="aboveAverage" dxfId="2593" priority="53"/>
  </conditionalFormatting>
  <conditionalFormatting sqref="C114 C116">
    <cfRule type="aboveAverage" dxfId="2592" priority="52"/>
  </conditionalFormatting>
  <conditionalFormatting sqref="E111 E115">
    <cfRule type="aboveAverage" dxfId="2591" priority="51"/>
  </conditionalFormatting>
  <conditionalFormatting sqref="G105 G113">
    <cfRule type="aboveAverage" dxfId="2590" priority="50"/>
  </conditionalFormatting>
  <conditionalFormatting sqref="G117 G119">
    <cfRule type="aboveAverage" dxfId="2589" priority="49"/>
  </conditionalFormatting>
  <conditionalFormatting sqref="C102 C104 C106 C108 C110 C112 C114 C116 E103 E107 E111 E115 G105 G113 G117 G119">
    <cfRule type="containsBlanks" dxfId="2588" priority="48">
      <formula>LEN(TRIM(C102))=0</formula>
    </cfRule>
  </conditionalFormatting>
  <conditionalFormatting sqref="E123 E125">
    <cfRule type="aboveAverage" dxfId="2587" priority="47"/>
  </conditionalFormatting>
  <conditionalFormatting sqref="E127 E129">
    <cfRule type="aboveAverage" dxfId="2586" priority="46"/>
  </conditionalFormatting>
  <conditionalFormatting sqref="G124 G128">
    <cfRule type="aboveAverage" dxfId="2585" priority="45"/>
  </conditionalFormatting>
  <conditionalFormatting sqref="G131 G133">
    <cfRule type="aboveAverage" dxfId="2584" priority="44"/>
  </conditionalFormatting>
  <conditionalFormatting sqref="E123 E125 E127 E129 G124 G128 G131 G133">
    <cfRule type="containsBlanks" dxfId="2583" priority="43">
      <formula>LEN(TRIM(E123))=0</formula>
    </cfRule>
  </conditionalFormatting>
  <conditionalFormatting sqref="B300:B309">
    <cfRule type="containsBlanks" dxfId="2582" priority="41">
      <formula>LEN(TRIM(B300))=0</formula>
    </cfRule>
    <cfRule type="duplicateValues" dxfId="2581" priority="42"/>
  </conditionalFormatting>
  <conditionalFormatting sqref="B147:B149">
    <cfRule type="containsText" dxfId="2580" priority="17" operator="containsText" text="I-Viru">
      <formula>NOT(ISERROR(SEARCH("I-Viru",B147)))</formula>
    </cfRule>
  </conditionalFormatting>
  <conditionalFormatting sqref="B141">
    <cfRule type="duplicateValues" dxfId="2579" priority="16"/>
  </conditionalFormatting>
  <conditionalFormatting sqref="B142">
    <cfRule type="duplicateValues" dxfId="2578" priority="15"/>
  </conditionalFormatting>
  <conditionalFormatting sqref="B143">
    <cfRule type="duplicateValues" dxfId="2577" priority="14"/>
  </conditionalFormatting>
  <conditionalFormatting sqref="B7">
    <cfRule type="duplicateValues" dxfId="2576" priority="12"/>
  </conditionalFormatting>
  <conditionalFormatting sqref="E140 E142 E144 E146 G141 G145 G148 G150">
    <cfRule type="containsBlanks" dxfId="2575" priority="7">
      <formula>LEN(TRIM(E140))=0</formula>
    </cfRule>
  </conditionalFormatting>
  <conditionalFormatting sqref="E140 E142">
    <cfRule type="aboveAverage" dxfId="2574" priority="11"/>
  </conditionalFormatting>
  <conditionalFormatting sqref="E144 E146">
    <cfRule type="aboveAverage" dxfId="2573" priority="10"/>
  </conditionalFormatting>
  <conditionalFormatting sqref="G141 G145">
    <cfRule type="aboveAverage" dxfId="2572" priority="9"/>
  </conditionalFormatting>
  <conditionalFormatting sqref="G148 G150">
    <cfRule type="aboveAverage" dxfId="2571" priority="8"/>
  </conditionalFormatting>
  <conditionalFormatting sqref="R7:R34">
    <cfRule type="expression" dxfId="2570" priority="1">
      <formula>AND(S7="",FIND(",",R7))</formula>
    </cfRule>
    <cfRule type="expression" dxfId="2569" priority="6">
      <formula>AND(S7="",COUNTIF(R7,"*,*")=0)</formula>
    </cfRule>
  </conditionalFormatting>
  <conditionalFormatting sqref="T7:T34">
    <cfRule type="expression" dxfId="2568" priority="5">
      <formula>AND(U7="",COUNTIF(T7,"*,*")=0)</formula>
    </cfRule>
  </conditionalFormatting>
  <conditionalFormatting sqref="V7:V10 V13:V16 V19:V22 V25:V28 V31:V34">
    <cfRule type="expression" dxfId="2567" priority="4">
      <formula>AND(W7="",COUNTIF(V7,"*,*")=0)</formula>
    </cfRule>
  </conditionalFormatting>
  <conditionalFormatting sqref="P7:P34">
    <cfRule type="expression" dxfId="2566" priority="3">
      <formula>AND(Q7="",COUNTIF(P7,"*,*")=0)</formula>
    </cfRule>
  </conditionalFormatting>
  <conditionalFormatting sqref="N7:N34">
    <cfRule type="expression" dxfId="2565" priority="2">
      <formula>AND(O7="",COUNTIF(N7,"*,*")=0)</formula>
    </cfRule>
  </conditionalFormatting>
  <pageMargins left="0.78740157480314965" right="0.39370078740157483" top="0.78740157480314965" bottom="0.31496062992125984" header="0.59055118110236227" footer="0"/>
  <pageSetup paperSize="9" scale="96" fitToHeight="0" orientation="landscape" horizontalDpi="1200" verticalDpi="1200" r:id="rId1"/>
  <headerFooter>
    <oddHeader>&amp;R&amp;"Arial,Regular"&amp;9Page &amp;P of &amp;N</oddHeader>
  </headerFooter>
  <rowBreaks count="2" manualBreakCount="2">
    <brk id="28" max="16383" man="1"/>
    <brk id="136"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F0"/>
    <pageSetUpPr fitToPage="1"/>
  </sheetPr>
  <dimension ref="A1:AA310"/>
  <sheetViews>
    <sheetView showGridLines="0" showRowColHeaders="0" zoomScaleNormal="100" workbookViewId="0">
      <pane ySplit="7" topLeftCell="A8" activePane="bottomLeft" state="frozen"/>
      <selection activeCell="K1" sqref="K1"/>
      <selection pane="bottomLeft" activeCell="W1" sqref="W1"/>
    </sheetView>
  </sheetViews>
  <sheetFormatPr defaultRowHeight="12.75" x14ac:dyDescent="0.2"/>
  <cols>
    <col min="1" max="1" width="3" style="63" customWidth="1"/>
    <col min="2" max="2" width="18.7109375" style="63" bestFit="1" customWidth="1"/>
    <col min="3" max="22" width="2.85546875" style="63" customWidth="1"/>
    <col min="23" max="23" width="3" style="63" bestFit="1" customWidth="1"/>
    <col min="24" max="24" width="10.5703125" style="63" customWidth="1"/>
    <col min="25" max="26" width="4" style="63" hidden="1" customWidth="1"/>
    <col min="27" max="27" width="4.5703125" style="63" hidden="1" customWidth="1"/>
    <col min="28" max="16384" width="9.140625" style="63"/>
  </cols>
  <sheetData>
    <row r="1" spans="1:24" s="55" customFormat="1" x14ac:dyDescent="0.2">
      <c r="A1" s="31" t="str">
        <f>UPPER((Kalend!E23)&amp;" - "&amp;(Kalend!C23)&amp;" - "&amp;(Kalend!D23))</f>
        <v>5 - IDA-VIRUMAA MV - TULISTAMINE</v>
      </c>
      <c r="N1" s="28" t="str">
        <f>HYPERLINK("#Kalend!I1","Kalender")</f>
        <v>Kalender</v>
      </c>
      <c r="O1" s="2"/>
      <c r="Q1" s="2"/>
      <c r="R1" s="2"/>
      <c r="S1" s="495" t="str">
        <f>HYPERLINK("#'Reit'!T1","Reiting")</f>
        <v>Reiting</v>
      </c>
      <c r="T1" s="2"/>
      <c r="U1" s="35"/>
      <c r="V1" s="35"/>
    </row>
    <row r="2" spans="1:24" s="55" customFormat="1" x14ac:dyDescent="0.2">
      <c r="A2" s="2" t="str">
        <f>"Toimumisaeg: "&amp;(Kalend!A23)&amp;" kell "&amp;(Kalend!B23)</f>
        <v>Toimumisaeg: N, 28.06.2018 kell 18:00</v>
      </c>
      <c r="R2" s="35"/>
      <c r="S2" s="35"/>
      <c r="T2" s="35"/>
    </row>
    <row r="3" spans="1:24" s="55" customFormat="1" x14ac:dyDescent="0.2">
      <c r="A3" s="2" t="str">
        <f>"Toimumiskoht: "&amp;(Kalend!F23)</f>
        <v>Toimumiskoht: K-Järve spordihoone</v>
      </c>
      <c r="R3" s="35"/>
      <c r="S3" s="35"/>
      <c r="T3" s="35"/>
    </row>
    <row r="4" spans="1:24" s="55" customFormat="1" x14ac:dyDescent="0.2">
      <c r="A4" s="2" t="str">
        <f>"Korraldaja: "&amp;(Kalend!G23)</f>
        <v>Korraldaja: K-Järve SHK, Ivar Viljaste</v>
      </c>
      <c r="R4" s="35"/>
      <c r="S4" s="35"/>
      <c r="T4" s="35"/>
    </row>
    <row r="5" spans="1:24" s="55" customFormat="1" ht="13.5" thickBot="1" x14ac:dyDescent="0.25">
      <c r="A5" s="35"/>
      <c r="B5" s="35"/>
      <c r="C5" s="35"/>
      <c r="D5" s="35"/>
      <c r="E5" s="35"/>
      <c r="F5" s="35"/>
      <c r="G5" s="35"/>
      <c r="H5" s="35"/>
      <c r="I5" s="35"/>
      <c r="J5" s="35"/>
      <c r="K5" s="35"/>
    </row>
    <row r="6" spans="1:24" ht="63.75" customHeight="1" thickBot="1" x14ac:dyDescent="0.25">
      <c r="A6" s="57"/>
      <c r="B6" s="58"/>
      <c r="C6" s="59"/>
      <c r="D6" s="59"/>
      <c r="E6" s="59"/>
      <c r="F6" s="59"/>
      <c r="G6" s="60"/>
      <c r="H6" s="59"/>
      <c r="I6" s="59"/>
      <c r="J6" s="61"/>
      <c r="K6" s="59"/>
      <c r="L6" s="59"/>
      <c r="M6" s="59"/>
      <c r="N6" s="59"/>
      <c r="O6" s="60"/>
      <c r="P6" s="59"/>
      <c r="Q6" s="59"/>
      <c r="R6" s="61"/>
      <c r="S6" s="59"/>
      <c r="T6" s="59"/>
      <c r="U6" s="59"/>
      <c r="V6" s="59"/>
      <c r="W6" s="62"/>
      <c r="X6" s="62"/>
    </row>
    <row r="7" spans="1:24" s="69" customFormat="1" ht="13.5" thickBot="1" x14ac:dyDescent="0.25">
      <c r="A7" s="784"/>
      <c r="B7" s="64"/>
      <c r="C7" s="65">
        <v>6</v>
      </c>
      <c r="D7" s="66">
        <v>7</v>
      </c>
      <c r="E7" s="66">
        <v>8</v>
      </c>
      <c r="F7" s="67">
        <v>9</v>
      </c>
      <c r="G7" s="65">
        <v>6</v>
      </c>
      <c r="H7" s="66">
        <v>7</v>
      </c>
      <c r="I7" s="66">
        <v>8</v>
      </c>
      <c r="J7" s="67">
        <v>9</v>
      </c>
      <c r="K7" s="65">
        <v>6</v>
      </c>
      <c r="L7" s="66">
        <v>7</v>
      </c>
      <c r="M7" s="66">
        <v>8</v>
      </c>
      <c r="N7" s="67">
        <v>9</v>
      </c>
      <c r="O7" s="65">
        <v>6</v>
      </c>
      <c r="P7" s="66">
        <v>7</v>
      </c>
      <c r="Q7" s="66">
        <v>8</v>
      </c>
      <c r="R7" s="67">
        <v>9</v>
      </c>
      <c r="S7" s="65">
        <v>6</v>
      </c>
      <c r="T7" s="66">
        <v>7</v>
      </c>
      <c r="U7" s="66">
        <v>8</v>
      </c>
      <c r="V7" s="67">
        <v>9</v>
      </c>
      <c r="W7" s="785" t="s">
        <v>13</v>
      </c>
      <c r="X7" s="68" t="s">
        <v>570</v>
      </c>
    </row>
    <row r="8" spans="1:24" x14ac:dyDescent="0.2">
      <c r="A8" s="786"/>
      <c r="B8" s="70" t="s">
        <v>55</v>
      </c>
      <c r="C8" s="71"/>
      <c r="D8" s="72"/>
      <c r="E8" s="72"/>
      <c r="F8" s="73"/>
      <c r="G8" s="71"/>
      <c r="H8" s="72"/>
      <c r="I8" s="72"/>
      <c r="J8" s="73"/>
      <c r="K8" s="71"/>
      <c r="L8" s="72"/>
      <c r="M8" s="72"/>
      <c r="N8" s="73"/>
      <c r="O8" s="71"/>
      <c r="P8" s="72"/>
      <c r="Q8" s="72"/>
      <c r="R8" s="73"/>
      <c r="S8" s="71"/>
      <c r="T8" s="72"/>
      <c r="U8" s="72"/>
      <c r="V8" s="73"/>
      <c r="W8" s="786"/>
      <c r="X8" s="74"/>
    </row>
    <row r="9" spans="1:24" x14ac:dyDescent="0.2">
      <c r="A9" s="787">
        <v>1</v>
      </c>
      <c r="B9" s="795" t="s">
        <v>93</v>
      </c>
      <c r="C9" s="789">
        <v>0</v>
      </c>
      <c r="D9" s="85">
        <v>0</v>
      </c>
      <c r="E9" s="85">
        <v>0</v>
      </c>
      <c r="F9" s="790">
        <v>0</v>
      </c>
      <c r="G9" s="789">
        <v>0</v>
      </c>
      <c r="H9" s="85">
        <v>0</v>
      </c>
      <c r="I9" s="85">
        <v>0</v>
      </c>
      <c r="J9" s="790">
        <v>0</v>
      </c>
      <c r="K9" s="789">
        <v>1</v>
      </c>
      <c r="L9" s="85">
        <v>1</v>
      </c>
      <c r="M9" s="85">
        <v>0</v>
      </c>
      <c r="N9" s="790">
        <v>0</v>
      </c>
      <c r="O9" s="789">
        <v>0</v>
      </c>
      <c r="P9" s="85">
        <v>0</v>
      </c>
      <c r="Q9" s="85">
        <v>0</v>
      </c>
      <c r="R9" s="790">
        <v>0</v>
      </c>
      <c r="S9" s="789">
        <v>0</v>
      </c>
      <c r="T9" s="85">
        <v>5</v>
      </c>
      <c r="U9" s="85">
        <v>5</v>
      </c>
      <c r="V9" s="790">
        <v>0</v>
      </c>
      <c r="W9" s="791">
        <f>IF(COUNTA(C9:V9)=0,"",SUM(C9:V9)+COUNTIF(C9:V9,5)/100+COUNTIF(C9:V9,3)/10000)</f>
        <v>12.02</v>
      </c>
      <c r="X9" s="824" t="str">
        <f>IF(COUNTA(C9:V9)=0,"",IF(RANK(W9,$W$9:$W$16)&lt;9,"edasi "&amp;RANK(W9,$W$9:$W$16),RANK(W9,$W$9:$W$16)))</f>
        <v>edasi 5</v>
      </c>
    </row>
    <row r="10" spans="1:24" x14ac:dyDescent="0.2">
      <c r="A10" s="787">
        <v>2</v>
      </c>
      <c r="B10" s="795" t="s">
        <v>88</v>
      </c>
      <c r="C10" s="789">
        <v>0</v>
      </c>
      <c r="D10" s="85">
        <v>0</v>
      </c>
      <c r="E10" s="85">
        <v>0</v>
      </c>
      <c r="F10" s="790">
        <v>0</v>
      </c>
      <c r="G10" s="789">
        <v>0</v>
      </c>
      <c r="H10" s="85">
        <v>0</v>
      </c>
      <c r="I10" s="85">
        <v>0</v>
      </c>
      <c r="J10" s="790">
        <v>0</v>
      </c>
      <c r="K10" s="789">
        <v>3</v>
      </c>
      <c r="L10" s="85">
        <v>0</v>
      </c>
      <c r="M10" s="85">
        <v>0</v>
      </c>
      <c r="N10" s="790">
        <v>0</v>
      </c>
      <c r="O10" s="789">
        <v>0</v>
      </c>
      <c r="P10" s="85">
        <v>0</v>
      </c>
      <c r="Q10" s="85">
        <v>0</v>
      </c>
      <c r="R10" s="790">
        <v>0</v>
      </c>
      <c r="S10" s="789">
        <v>0</v>
      </c>
      <c r="T10" s="85">
        <v>0</v>
      </c>
      <c r="U10" s="85">
        <v>0</v>
      </c>
      <c r="V10" s="790">
        <v>0</v>
      </c>
      <c r="W10" s="791">
        <f t="shared" ref="W10:W16" si="0">IF(COUNTA(C10:V10)=0,"",SUM(C10:V10)+COUNTIF(C10:V10,5)/100+COUNTIF(C10:V10,3)/10000)</f>
        <v>3.0001000000000002</v>
      </c>
      <c r="X10" s="824" t="str">
        <f t="shared" ref="X10:X16" si="1">IF(COUNTA(C10:V10)=0,"",IF(RANK(W10,$W$9:$W$16)&lt;9,"edasi "&amp;RANK(W10,$W$9:$W$16),RANK(W10,$W$9:$W$16)))</f>
        <v>edasi 8</v>
      </c>
    </row>
    <row r="11" spans="1:24" x14ac:dyDescent="0.2">
      <c r="A11" s="75">
        <v>3</v>
      </c>
      <c r="B11" s="792" t="s">
        <v>101</v>
      </c>
      <c r="C11" s="76">
        <v>0</v>
      </c>
      <c r="D11" s="77">
        <v>3</v>
      </c>
      <c r="E11" s="77">
        <v>0</v>
      </c>
      <c r="F11" s="78">
        <v>0</v>
      </c>
      <c r="G11" s="76">
        <v>3</v>
      </c>
      <c r="H11" s="77">
        <v>0</v>
      </c>
      <c r="I11" s="77">
        <v>0</v>
      </c>
      <c r="J11" s="78">
        <v>0</v>
      </c>
      <c r="K11" s="76">
        <v>3</v>
      </c>
      <c r="L11" s="77">
        <v>1</v>
      </c>
      <c r="M11" s="77">
        <v>1</v>
      </c>
      <c r="N11" s="78">
        <v>3</v>
      </c>
      <c r="O11" s="76">
        <v>0</v>
      </c>
      <c r="P11" s="77">
        <v>0</v>
      </c>
      <c r="Q11" s="77">
        <v>0</v>
      </c>
      <c r="R11" s="78">
        <v>0</v>
      </c>
      <c r="S11" s="76">
        <v>0</v>
      </c>
      <c r="T11" s="77">
        <v>5</v>
      </c>
      <c r="U11" s="77">
        <v>5</v>
      </c>
      <c r="V11" s="78">
        <v>0</v>
      </c>
      <c r="W11" s="825">
        <f t="shared" si="0"/>
        <v>24.020399999999999</v>
      </c>
      <c r="X11" s="79" t="str">
        <f t="shared" si="1"/>
        <v>edasi 2</v>
      </c>
    </row>
    <row r="12" spans="1:24" x14ac:dyDescent="0.2">
      <c r="A12" s="75">
        <v>4</v>
      </c>
      <c r="B12" s="793" t="s">
        <v>102</v>
      </c>
      <c r="C12" s="76">
        <v>0</v>
      </c>
      <c r="D12" s="77">
        <v>0</v>
      </c>
      <c r="E12" s="77">
        <v>0</v>
      </c>
      <c r="F12" s="78">
        <v>0</v>
      </c>
      <c r="G12" s="76">
        <v>0</v>
      </c>
      <c r="H12" s="77">
        <v>0</v>
      </c>
      <c r="I12" s="77">
        <v>0</v>
      </c>
      <c r="J12" s="78">
        <v>0</v>
      </c>
      <c r="K12" s="76">
        <v>3</v>
      </c>
      <c r="L12" s="77">
        <v>0</v>
      </c>
      <c r="M12" s="77">
        <v>0</v>
      </c>
      <c r="N12" s="78">
        <v>0</v>
      </c>
      <c r="O12" s="76">
        <v>0</v>
      </c>
      <c r="P12" s="77">
        <v>3</v>
      </c>
      <c r="Q12" s="77">
        <v>0</v>
      </c>
      <c r="R12" s="78">
        <v>0</v>
      </c>
      <c r="S12" s="76">
        <v>3</v>
      </c>
      <c r="T12" s="77">
        <v>0</v>
      </c>
      <c r="U12" s="77">
        <v>0</v>
      </c>
      <c r="V12" s="78">
        <v>0</v>
      </c>
      <c r="W12" s="79">
        <f t="shared" si="0"/>
        <v>9.0002999999999993</v>
      </c>
      <c r="X12" s="79" t="str">
        <f t="shared" si="1"/>
        <v>edasi 7</v>
      </c>
    </row>
    <row r="13" spans="1:24" x14ac:dyDescent="0.2">
      <c r="A13" s="787">
        <v>5</v>
      </c>
      <c r="B13" s="794" t="s">
        <v>90</v>
      </c>
      <c r="C13" s="789">
        <v>3</v>
      </c>
      <c r="D13" s="85">
        <v>3</v>
      </c>
      <c r="E13" s="85">
        <v>3</v>
      </c>
      <c r="F13" s="790">
        <v>3</v>
      </c>
      <c r="G13" s="789">
        <v>0</v>
      </c>
      <c r="H13" s="85">
        <v>0</v>
      </c>
      <c r="I13" s="85">
        <v>0</v>
      </c>
      <c r="J13" s="790">
        <v>0</v>
      </c>
      <c r="K13" s="789">
        <v>0</v>
      </c>
      <c r="L13" s="85">
        <v>0</v>
      </c>
      <c r="M13" s="85">
        <v>0</v>
      </c>
      <c r="N13" s="790">
        <v>0</v>
      </c>
      <c r="O13" s="789">
        <v>0</v>
      </c>
      <c r="P13" s="85">
        <v>0</v>
      </c>
      <c r="Q13" s="85">
        <v>0</v>
      </c>
      <c r="R13" s="790">
        <v>0</v>
      </c>
      <c r="S13" s="789">
        <v>0</v>
      </c>
      <c r="T13" s="85">
        <v>0</v>
      </c>
      <c r="U13" s="85">
        <v>3</v>
      </c>
      <c r="V13" s="790">
        <v>0</v>
      </c>
      <c r="W13" s="791">
        <f t="shared" si="0"/>
        <v>15.000500000000001</v>
      </c>
      <c r="X13" s="791" t="str">
        <f t="shared" si="1"/>
        <v>edasi 3</v>
      </c>
    </row>
    <row r="14" spans="1:24" x14ac:dyDescent="0.2">
      <c r="A14" s="787">
        <v>6</v>
      </c>
      <c r="B14" s="795" t="s">
        <v>96</v>
      </c>
      <c r="C14" s="789">
        <v>5</v>
      </c>
      <c r="D14" s="85">
        <v>3</v>
      </c>
      <c r="E14" s="85">
        <v>0</v>
      </c>
      <c r="F14" s="790">
        <v>0</v>
      </c>
      <c r="G14" s="789">
        <v>0</v>
      </c>
      <c r="H14" s="85">
        <v>0</v>
      </c>
      <c r="I14" s="85">
        <v>0</v>
      </c>
      <c r="J14" s="790">
        <v>0</v>
      </c>
      <c r="K14" s="789">
        <v>0</v>
      </c>
      <c r="L14" s="85">
        <v>0</v>
      </c>
      <c r="M14" s="85">
        <v>0</v>
      </c>
      <c r="N14" s="790">
        <v>0</v>
      </c>
      <c r="O14" s="789">
        <v>1</v>
      </c>
      <c r="P14" s="85">
        <v>0</v>
      </c>
      <c r="Q14" s="85">
        <v>3</v>
      </c>
      <c r="R14" s="790">
        <v>1</v>
      </c>
      <c r="S14" s="789">
        <v>0</v>
      </c>
      <c r="T14" s="85">
        <v>0</v>
      </c>
      <c r="U14" s="85">
        <v>0</v>
      </c>
      <c r="V14" s="790">
        <v>0</v>
      </c>
      <c r="W14" s="791">
        <f t="shared" si="0"/>
        <v>13.010199999999999</v>
      </c>
      <c r="X14" s="791" t="str">
        <f t="shared" si="1"/>
        <v>edasi 4</v>
      </c>
    </row>
    <row r="15" spans="1:24" x14ac:dyDescent="0.2">
      <c r="A15" s="75">
        <v>7</v>
      </c>
      <c r="B15" s="793" t="s">
        <v>95</v>
      </c>
      <c r="C15" s="76">
        <v>3</v>
      </c>
      <c r="D15" s="77">
        <v>3</v>
      </c>
      <c r="E15" s="77">
        <v>0</v>
      </c>
      <c r="F15" s="78">
        <v>0</v>
      </c>
      <c r="G15" s="76">
        <v>5</v>
      </c>
      <c r="H15" s="77">
        <v>0</v>
      </c>
      <c r="I15" s="77">
        <v>0</v>
      </c>
      <c r="J15" s="78">
        <v>3</v>
      </c>
      <c r="K15" s="76">
        <v>3</v>
      </c>
      <c r="L15" s="77">
        <v>1</v>
      </c>
      <c r="M15" s="77">
        <v>1</v>
      </c>
      <c r="N15" s="78">
        <v>0</v>
      </c>
      <c r="O15" s="76">
        <v>0</v>
      </c>
      <c r="P15" s="77">
        <v>3</v>
      </c>
      <c r="Q15" s="77">
        <v>0</v>
      </c>
      <c r="R15" s="78">
        <v>0</v>
      </c>
      <c r="S15" s="76">
        <v>0</v>
      </c>
      <c r="T15" s="77">
        <v>5</v>
      </c>
      <c r="U15" s="77">
        <v>0</v>
      </c>
      <c r="V15" s="78">
        <v>0</v>
      </c>
      <c r="W15" s="79">
        <f t="shared" si="0"/>
        <v>27.020499999999998</v>
      </c>
      <c r="X15" s="79" t="str">
        <f t="shared" si="1"/>
        <v>edasi 1</v>
      </c>
    </row>
    <row r="16" spans="1:24" ht="13.5" thickBot="1" x14ac:dyDescent="0.25">
      <c r="A16" s="816">
        <v>8</v>
      </c>
      <c r="B16" s="817" t="s">
        <v>89</v>
      </c>
      <c r="C16" s="86">
        <v>3</v>
      </c>
      <c r="D16" s="87">
        <v>0</v>
      </c>
      <c r="E16" s="87">
        <v>3</v>
      </c>
      <c r="F16" s="88">
        <v>0</v>
      </c>
      <c r="G16" s="86">
        <v>3</v>
      </c>
      <c r="H16" s="87">
        <v>0</v>
      </c>
      <c r="I16" s="87">
        <v>0</v>
      </c>
      <c r="J16" s="88">
        <v>0</v>
      </c>
      <c r="K16" s="86">
        <v>1</v>
      </c>
      <c r="L16" s="87">
        <v>1</v>
      </c>
      <c r="M16" s="87">
        <v>0</v>
      </c>
      <c r="N16" s="88">
        <v>0</v>
      </c>
      <c r="O16" s="86">
        <v>0</v>
      </c>
      <c r="P16" s="87">
        <v>0</v>
      </c>
      <c r="Q16" s="87">
        <v>0</v>
      </c>
      <c r="R16" s="88">
        <v>0</v>
      </c>
      <c r="S16" s="86">
        <v>0</v>
      </c>
      <c r="T16" s="87">
        <v>0</v>
      </c>
      <c r="U16" s="87">
        <v>0</v>
      </c>
      <c r="V16" s="88">
        <v>0</v>
      </c>
      <c r="W16" s="89">
        <f t="shared" si="0"/>
        <v>11.000299999999999</v>
      </c>
      <c r="X16" s="89" t="str">
        <f t="shared" si="1"/>
        <v>edasi 6</v>
      </c>
    </row>
    <row r="17" spans="1:27" hidden="1" x14ac:dyDescent="0.2"/>
    <row r="18" spans="1:27" hidden="1" x14ac:dyDescent="0.2"/>
    <row r="19" spans="1:27" hidden="1" x14ac:dyDescent="0.2"/>
    <row r="20" spans="1:27" hidden="1" x14ac:dyDescent="0.2"/>
    <row r="21" spans="1:27" hidden="1" x14ac:dyDescent="0.2"/>
    <row r="22" spans="1:27" ht="13.5" hidden="1" thickBot="1" x14ac:dyDescent="0.25"/>
    <row r="23" spans="1:27" x14ac:dyDescent="0.2">
      <c r="A23" s="80"/>
      <c r="B23" s="70" t="s">
        <v>58</v>
      </c>
      <c r="C23" s="71"/>
      <c r="D23" s="72"/>
      <c r="E23" s="72"/>
      <c r="F23" s="73"/>
      <c r="G23" s="71"/>
      <c r="H23" s="72"/>
      <c r="I23" s="72"/>
      <c r="J23" s="73"/>
      <c r="K23" s="71"/>
      <c r="L23" s="72"/>
      <c r="M23" s="72"/>
      <c r="N23" s="73"/>
      <c r="O23" s="71"/>
      <c r="P23" s="72"/>
      <c r="Q23" s="72"/>
      <c r="R23" s="73"/>
      <c r="S23" s="71"/>
      <c r="T23" s="72"/>
      <c r="U23" s="72"/>
      <c r="V23" s="73"/>
      <c r="W23" s="74"/>
      <c r="X23" s="74"/>
      <c r="Y23" s="818"/>
      <c r="Z23" s="84" t="s">
        <v>56</v>
      </c>
      <c r="AA23" s="84" t="s">
        <v>57</v>
      </c>
    </row>
    <row r="24" spans="1:27" x14ac:dyDescent="0.2">
      <c r="A24" s="796">
        <v>4</v>
      </c>
      <c r="B24" s="821" t="s">
        <v>96</v>
      </c>
      <c r="C24" s="797">
        <v>1</v>
      </c>
      <c r="D24" s="798">
        <v>5</v>
      </c>
      <c r="E24" s="798">
        <v>0</v>
      </c>
      <c r="F24" s="799">
        <v>0</v>
      </c>
      <c r="G24" s="797">
        <v>0</v>
      </c>
      <c r="H24" s="798">
        <v>0</v>
      </c>
      <c r="I24" s="798">
        <v>0</v>
      </c>
      <c r="J24" s="799">
        <v>3</v>
      </c>
      <c r="K24" s="797">
        <v>0</v>
      </c>
      <c r="L24" s="798">
        <v>0</v>
      </c>
      <c r="M24" s="798">
        <v>0</v>
      </c>
      <c r="N24" s="799">
        <v>0</v>
      </c>
      <c r="O24" s="797">
        <v>0</v>
      </c>
      <c r="P24" s="798">
        <v>0</v>
      </c>
      <c r="Q24" s="798">
        <v>0</v>
      </c>
      <c r="R24" s="799">
        <v>3</v>
      </c>
      <c r="S24" s="797">
        <v>0</v>
      </c>
      <c r="T24" s="798">
        <v>5</v>
      </c>
      <c r="U24" s="798">
        <v>0</v>
      </c>
      <c r="V24" s="799">
        <v>0</v>
      </c>
      <c r="W24" s="791">
        <f t="shared" ref="W24:W31" si="2">SUM(C24:V24)</f>
        <v>17</v>
      </c>
      <c r="X24" s="800">
        <f>IF(ISBLANK(C24),"",IF(RANK(Y24,$Y$24:$Y$25)&lt;2,"edasi "&amp;RANK(W24,$AA$24:$AA$31),RANK(W24,$Z$24:$Z$31)+4))</f>
        <v>6</v>
      </c>
      <c r="Y24" s="819">
        <f>IF(COUNTA(C24:V24)=0,100,W24+IF(RANK(W24,$W$24:$W$25)=1,100,0))</f>
        <v>17</v>
      </c>
      <c r="Z24" s="84">
        <f>MIN(W24:W25)</f>
        <v>17</v>
      </c>
      <c r="AA24" s="84">
        <f>MAX(W24:W25)</f>
        <v>18</v>
      </c>
    </row>
    <row r="25" spans="1:27" x14ac:dyDescent="0.2">
      <c r="A25" s="796">
        <v>5</v>
      </c>
      <c r="B25" s="795" t="s">
        <v>88</v>
      </c>
      <c r="C25" s="797">
        <v>0</v>
      </c>
      <c r="D25" s="798">
        <v>0</v>
      </c>
      <c r="E25" s="798">
        <v>0</v>
      </c>
      <c r="F25" s="799">
        <v>0</v>
      </c>
      <c r="G25" s="797">
        <v>1</v>
      </c>
      <c r="H25" s="798">
        <v>0</v>
      </c>
      <c r="I25" s="798">
        <v>0</v>
      </c>
      <c r="J25" s="799">
        <v>3</v>
      </c>
      <c r="K25" s="797">
        <v>3</v>
      </c>
      <c r="L25" s="798">
        <v>1</v>
      </c>
      <c r="M25" s="798">
        <v>0</v>
      </c>
      <c r="N25" s="799">
        <v>0</v>
      </c>
      <c r="O25" s="797">
        <v>0</v>
      </c>
      <c r="P25" s="798">
        <v>0</v>
      </c>
      <c r="Q25" s="798">
        <v>0</v>
      </c>
      <c r="R25" s="799">
        <v>0</v>
      </c>
      <c r="S25" s="797">
        <v>5</v>
      </c>
      <c r="T25" s="798">
        <v>5</v>
      </c>
      <c r="U25" s="798">
        <v>0</v>
      </c>
      <c r="V25" s="799">
        <v>0</v>
      </c>
      <c r="W25" s="791">
        <f t="shared" si="2"/>
        <v>18</v>
      </c>
      <c r="X25" s="800" t="str">
        <f>IF(ISBLANK(C25),"",IF(RANK(Y25,$Y$24:$Y$25)&lt;2,"edasi "&amp;RANK(W25,$AA$24:$AA$31),RANK(W25,$Z$24:$Z$31)+4))</f>
        <v>edasi 3</v>
      </c>
      <c r="Y25" s="820">
        <f>IF(COUNTA(C25:V25)=0,0,W25+IF(RANK(W25,$W$24:$W$25)=1,100,0))</f>
        <v>118</v>
      </c>
      <c r="Z25" s="84"/>
      <c r="AA25" s="84"/>
    </row>
    <row r="26" spans="1:27" x14ac:dyDescent="0.2">
      <c r="A26" s="90">
        <v>3</v>
      </c>
      <c r="B26" s="801" t="s">
        <v>90</v>
      </c>
      <c r="C26" s="81">
        <v>5</v>
      </c>
      <c r="D26" s="82">
        <v>3</v>
      </c>
      <c r="E26" s="82">
        <v>3</v>
      </c>
      <c r="F26" s="83">
        <v>0</v>
      </c>
      <c r="G26" s="81">
        <v>0</v>
      </c>
      <c r="H26" s="82">
        <v>0</v>
      </c>
      <c r="I26" s="82">
        <v>0</v>
      </c>
      <c r="J26" s="83">
        <v>0</v>
      </c>
      <c r="K26" s="81">
        <v>1</v>
      </c>
      <c r="L26" s="82">
        <v>1</v>
      </c>
      <c r="M26" s="82">
        <v>0</v>
      </c>
      <c r="N26" s="83">
        <v>1</v>
      </c>
      <c r="O26" s="81">
        <v>0</v>
      </c>
      <c r="P26" s="82">
        <v>0</v>
      </c>
      <c r="Q26" s="82">
        <v>0</v>
      </c>
      <c r="R26" s="83">
        <v>0</v>
      </c>
      <c r="S26" s="81">
        <v>3</v>
      </c>
      <c r="T26" s="82">
        <v>3</v>
      </c>
      <c r="U26" s="82">
        <v>0</v>
      </c>
      <c r="V26" s="83">
        <v>0</v>
      </c>
      <c r="W26" s="79">
        <f t="shared" si="2"/>
        <v>20</v>
      </c>
      <c r="X26" s="91">
        <f>IF(ISBLANK(C26),"",IF(RANK(Y26,$Y$26:$Y$27)&lt;2,"edasi "&amp;RANK(W26,$AA$24:$AA$31),RANK(W26,$Z$24:$Z$31)+4))</f>
        <v>5</v>
      </c>
      <c r="Y26" s="819">
        <f>IF(COUNTA(C26:V26)=0,100,W26+IF(RANK(W26,$W$26:$W$27)=1,100,0))</f>
        <v>20</v>
      </c>
      <c r="Z26" s="84">
        <f>MIN(W26:W27)</f>
        <v>20</v>
      </c>
      <c r="AA26" s="84">
        <f>MAX(W26:W27)</f>
        <v>25</v>
      </c>
    </row>
    <row r="27" spans="1:27" x14ac:dyDescent="0.2">
      <c r="A27" s="90">
        <v>6</v>
      </c>
      <c r="B27" s="822" t="s">
        <v>89</v>
      </c>
      <c r="C27" s="81">
        <v>0</v>
      </c>
      <c r="D27" s="82">
        <v>0</v>
      </c>
      <c r="E27" s="82">
        <v>3</v>
      </c>
      <c r="F27" s="83">
        <v>3</v>
      </c>
      <c r="G27" s="81">
        <v>0</v>
      </c>
      <c r="H27" s="82">
        <v>0</v>
      </c>
      <c r="I27" s="82">
        <v>0</v>
      </c>
      <c r="J27" s="83">
        <v>3</v>
      </c>
      <c r="K27" s="81">
        <v>1</v>
      </c>
      <c r="L27" s="82">
        <v>0</v>
      </c>
      <c r="M27" s="82">
        <v>0</v>
      </c>
      <c r="N27" s="83">
        <v>1</v>
      </c>
      <c r="O27" s="81">
        <v>1</v>
      </c>
      <c r="P27" s="82">
        <v>0</v>
      </c>
      <c r="Q27" s="82">
        <v>3</v>
      </c>
      <c r="R27" s="83">
        <v>0</v>
      </c>
      <c r="S27" s="81">
        <v>0</v>
      </c>
      <c r="T27" s="82">
        <v>5</v>
      </c>
      <c r="U27" s="82">
        <v>0</v>
      </c>
      <c r="V27" s="83">
        <v>5</v>
      </c>
      <c r="W27" s="79">
        <f t="shared" si="2"/>
        <v>25</v>
      </c>
      <c r="X27" s="91" t="str">
        <f>IF(ISBLANK(C27),"",IF(RANK(Y27,$Y$26:$Y$27)&lt;2,"edasi "&amp;RANK(W27,$AA$24:$AA$31),RANK(W27,$Z$24:$Z$31)+4))</f>
        <v>edasi 2</v>
      </c>
      <c r="Y27" s="820">
        <f>IF(COUNTA(C27:V27)=0,0,W27+IF(RANK(W27,$W$26:$W$27)=1,100,0))</f>
        <v>125</v>
      </c>
      <c r="Z27" s="84"/>
      <c r="AA27" s="84"/>
    </row>
    <row r="28" spans="1:27" x14ac:dyDescent="0.2">
      <c r="A28" s="796">
        <v>2</v>
      </c>
      <c r="B28" s="794" t="s">
        <v>101</v>
      </c>
      <c r="C28" s="797">
        <v>0</v>
      </c>
      <c r="D28" s="798">
        <v>3</v>
      </c>
      <c r="E28" s="798">
        <v>0</v>
      </c>
      <c r="F28" s="799">
        <v>0</v>
      </c>
      <c r="G28" s="797">
        <v>0</v>
      </c>
      <c r="H28" s="798">
        <v>0</v>
      </c>
      <c r="I28" s="798">
        <v>0</v>
      </c>
      <c r="J28" s="799">
        <v>0</v>
      </c>
      <c r="K28" s="797">
        <v>0</v>
      </c>
      <c r="L28" s="798">
        <v>0</v>
      </c>
      <c r="M28" s="798">
        <v>0</v>
      </c>
      <c r="N28" s="799">
        <v>0</v>
      </c>
      <c r="O28" s="797">
        <v>0</v>
      </c>
      <c r="P28" s="798">
        <v>0</v>
      </c>
      <c r="Q28" s="798">
        <v>0</v>
      </c>
      <c r="R28" s="799">
        <v>0</v>
      </c>
      <c r="S28" s="797">
        <v>0</v>
      </c>
      <c r="T28" s="798">
        <v>0</v>
      </c>
      <c r="U28" s="798">
        <v>0</v>
      </c>
      <c r="V28" s="799">
        <v>0</v>
      </c>
      <c r="W28" s="791">
        <f t="shared" si="2"/>
        <v>3</v>
      </c>
      <c r="X28" s="800">
        <f>IF(ISBLANK(C28),"",IF(RANK(Y28,$Y$28:$Y$29)&lt;2,"edasi "&amp;RANK(W28,$AA$24:$AA$31),RANK(W28,$Z$24:$Z$31)+4))</f>
        <v>7</v>
      </c>
      <c r="Y28" s="819">
        <f>IF(COUNTA(C28:V28)=0,100,W28+IF(RANK(W28,$W$28:$W$29)=1,100,0))</f>
        <v>3</v>
      </c>
      <c r="Z28" s="84">
        <f>MIN(W28:W29)</f>
        <v>3</v>
      </c>
      <c r="AA28" s="84">
        <f>MAX(W28:W29)</f>
        <v>17</v>
      </c>
    </row>
    <row r="29" spans="1:27" x14ac:dyDescent="0.2">
      <c r="A29" s="796">
        <v>7</v>
      </c>
      <c r="B29" s="788" t="s">
        <v>102</v>
      </c>
      <c r="C29" s="797">
        <v>3</v>
      </c>
      <c r="D29" s="798">
        <v>0</v>
      </c>
      <c r="E29" s="798">
        <v>0</v>
      </c>
      <c r="F29" s="799">
        <v>3</v>
      </c>
      <c r="G29" s="797">
        <v>0</v>
      </c>
      <c r="H29" s="798">
        <v>0</v>
      </c>
      <c r="I29" s="798">
        <v>0</v>
      </c>
      <c r="J29" s="799">
        <v>0</v>
      </c>
      <c r="K29" s="797">
        <v>0</v>
      </c>
      <c r="L29" s="798">
        <v>0</v>
      </c>
      <c r="M29" s="798">
        <v>0</v>
      </c>
      <c r="N29" s="799">
        <v>0</v>
      </c>
      <c r="O29" s="797">
        <v>5</v>
      </c>
      <c r="P29" s="798">
        <v>1</v>
      </c>
      <c r="Q29" s="798">
        <v>0</v>
      </c>
      <c r="R29" s="799">
        <v>0</v>
      </c>
      <c r="S29" s="797">
        <v>0</v>
      </c>
      <c r="T29" s="798">
        <v>0</v>
      </c>
      <c r="U29" s="798">
        <v>0</v>
      </c>
      <c r="V29" s="799">
        <v>5</v>
      </c>
      <c r="W29" s="791">
        <f t="shared" si="2"/>
        <v>17</v>
      </c>
      <c r="X29" s="800" t="str">
        <f>IF(ISBLANK(C29),"",IF(RANK(Y29,$Y$28:$Y$29)&lt;2,"edasi "&amp;RANK(W29,$AA$24:$AA$31),RANK(W29,$Z$24:$Z$31)+4))</f>
        <v>edasi 4</v>
      </c>
      <c r="Y29" s="820">
        <f>IF(COUNTA(C29:V29)=0,0,W29+IF(RANK(W29,$W$28:$W$29)=1,100,0))</f>
        <v>117</v>
      </c>
      <c r="Z29" s="84"/>
      <c r="AA29" s="84"/>
    </row>
    <row r="30" spans="1:27" x14ac:dyDescent="0.2">
      <c r="A30" s="90">
        <v>1</v>
      </c>
      <c r="B30" s="792" t="s">
        <v>95</v>
      </c>
      <c r="C30" s="81">
        <v>0</v>
      </c>
      <c r="D30" s="82">
        <v>0</v>
      </c>
      <c r="E30" s="82">
        <v>0</v>
      </c>
      <c r="F30" s="83">
        <v>5</v>
      </c>
      <c r="G30" s="81">
        <v>0</v>
      </c>
      <c r="H30" s="82">
        <v>0</v>
      </c>
      <c r="I30" s="82">
        <v>0</v>
      </c>
      <c r="J30" s="83">
        <v>0</v>
      </c>
      <c r="K30" s="81">
        <v>1</v>
      </c>
      <c r="L30" s="82">
        <v>0</v>
      </c>
      <c r="M30" s="82">
        <v>5</v>
      </c>
      <c r="N30" s="83">
        <v>0</v>
      </c>
      <c r="O30" s="81">
        <v>5</v>
      </c>
      <c r="P30" s="82">
        <v>0</v>
      </c>
      <c r="Q30" s="82">
        <v>0</v>
      </c>
      <c r="R30" s="83">
        <v>0</v>
      </c>
      <c r="S30" s="81">
        <v>0</v>
      </c>
      <c r="T30" s="82">
        <v>5</v>
      </c>
      <c r="U30" s="82">
        <v>0</v>
      </c>
      <c r="V30" s="83">
        <v>5</v>
      </c>
      <c r="W30" s="79">
        <f t="shared" si="2"/>
        <v>26</v>
      </c>
      <c r="X30" s="91" t="str">
        <f>IF(ISBLANK(C30),"",IF(RANK(Y30,$Y$30:$Y$31)&lt;2,"edasi "&amp;RANK(W30,$AA$24:$AA$31),RANK(W30,$Z$24:$Z$31)+4))</f>
        <v>edasi 1</v>
      </c>
      <c r="Y30" s="819">
        <f>IF(COUNTA(C30:V30)=0,100,W30+IF(RANK(W30,$W$30:$W$31)=1,100,0))</f>
        <v>126</v>
      </c>
      <c r="Z30" s="84">
        <f>MIN(W30:W31)</f>
        <v>3</v>
      </c>
      <c r="AA30" s="84">
        <f>MAX(W30:W31)</f>
        <v>26</v>
      </c>
    </row>
    <row r="31" spans="1:27" ht="13.5" thickBot="1" x14ac:dyDescent="0.25">
      <c r="A31" s="92">
        <v>8</v>
      </c>
      <c r="B31" s="823" t="s">
        <v>93</v>
      </c>
      <c r="C31" s="93">
        <v>0</v>
      </c>
      <c r="D31" s="94">
        <v>0</v>
      </c>
      <c r="E31" s="94">
        <v>0</v>
      </c>
      <c r="F31" s="95">
        <v>3</v>
      </c>
      <c r="G31" s="93">
        <v>0</v>
      </c>
      <c r="H31" s="94">
        <v>0</v>
      </c>
      <c r="I31" s="94">
        <v>0</v>
      </c>
      <c r="J31" s="95">
        <v>0</v>
      </c>
      <c r="K31" s="93">
        <v>0</v>
      </c>
      <c r="L31" s="94">
        <v>0</v>
      </c>
      <c r="M31" s="94">
        <v>0</v>
      </c>
      <c r="N31" s="95">
        <v>0</v>
      </c>
      <c r="O31" s="93">
        <v>0</v>
      </c>
      <c r="P31" s="94">
        <v>0</v>
      </c>
      <c r="Q31" s="94">
        <v>0</v>
      </c>
      <c r="R31" s="95">
        <v>0</v>
      </c>
      <c r="S31" s="93">
        <v>0</v>
      </c>
      <c r="T31" s="94">
        <v>0</v>
      </c>
      <c r="U31" s="94">
        <v>0</v>
      </c>
      <c r="V31" s="95">
        <v>0</v>
      </c>
      <c r="W31" s="89">
        <f t="shared" si="2"/>
        <v>3</v>
      </c>
      <c r="X31" s="96">
        <f>IF(ISBLANK(C31),"",IF(RANK(Y31,$Y$30:$Y$31)&lt;2,"edasi "&amp;RANK(W31,$AA$24:$AA$31),RANK(W31,$Z$24:$Z$31)+4))</f>
        <v>7</v>
      </c>
      <c r="Y31" s="820">
        <f>IF(COUNTA(C31:V31)=0,0,W31+IF(RANK(W31,$W$30:$W$31)=1,100,0))</f>
        <v>3</v>
      </c>
      <c r="Z31" s="84"/>
      <c r="AA31" s="84"/>
    </row>
    <row r="32" spans="1:27" x14ac:dyDescent="0.2">
      <c r="A32" s="80"/>
      <c r="B32" s="70" t="s">
        <v>59</v>
      </c>
      <c r="C32" s="71"/>
      <c r="D32" s="72"/>
      <c r="E32" s="72"/>
      <c r="F32" s="73"/>
      <c r="G32" s="71"/>
      <c r="H32" s="72"/>
      <c r="I32" s="72"/>
      <c r="J32" s="73"/>
      <c r="K32" s="71"/>
      <c r="L32" s="72"/>
      <c r="M32" s="72"/>
      <c r="N32" s="73"/>
      <c r="O32" s="71"/>
      <c r="P32" s="72"/>
      <c r="Q32" s="72"/>
      <c r="R32" s="73"/>
      <c r="S32" s="71"/>
      <c r="T32" s="72"/>
      <c r="U32" s="72"/>
      <c r="V32" s="73"/>
      <c r="W32" s="74"/>
      <c r="X32" s="74"/>
    </row>
    <row r="33" spans="1:24" x14ac:dyDescent="0.2">
      <c r="A33" s="796">
        <v>3</v>
      </c>
      <c r="B33" s="788" t="s">
        <v>102</v>
      </c>
      <c r="C33" s="797">
        <v>0</v>
      </c>
      <c r="D33" s="798">
        <v>3</v>
      </c>
      <c r="E33" s="798">
        <v>0</v>
      </c>
      <c r="F33" s="799">
        <v>0</v>
      </c>
      <c r="G33" s="797">
        <v>0</v>
      </c>
      <c r="H33" s="798">
        <v>0</v>
      </c>
      <c r="I33" s="798">
        <v>0</v>
      </c>
      <c r="J33" s="799">
        <v>3</v>
      </c>
      <c r="K33" s="797">
        <v>0</v>
      </c>
      <c r="L33" s="798">
        <v>0</v>
      </c>
      <c r="M33" s="798">
        <v>0</v>
      </c>
      <c r="N33" s="799">
        <v>0</v>
      </c>
      <c r="O33" s="797">
        <v>0</v>
      </c>
      <c r="P33" s="798">
        <v>3</v>
      </c>
      <c r="Q33" s="798">
        <v>0</v>
      </c>
      <c r="R33" s="799">
        <v>0</v>
      </c>
      <c r="S33" s="797">
        <v>0</v>
      </c>
      <c r="T33" s="798">
        <v>0</v>
      </c>
      <c r="U33" s="798">
        <v>5</v>
      </c>
      <c r="V33" s="799">
        <v>0</v>
      </c>
      <c r="W33" s="791">
        <f>SUM(C33:V33)</f>
        <v>14</v>
      </c>
      <c r="X33" s="800" t="str">
        <f>IF(COUNTA(C33:V33)=0,"",IF(W33=W34,"ümbervisk",IF(W33&gt;W34,"finaali "&amp;(IF(W33&lt;MAX(W35:W36),2,IF(W33=MAX(W35:W36),"",1))),"pronksi "&amp;(IF(W33&lt;MIN(W35:W36),2,IF(W33=MIN(W35:W36),"",1))))))</f>
        <v>pronksi 1</v>
      </c>
    </row>
    <row r="34" spans="1:24" x14ac:dyDescent="0.2">
      <c r="A34" s="796">
        <v>2</v>
      </c>
      <c r="B34" s="795" t="s">
        <v>95</v>
      </c>
      <c r="C34" s="797">
        <v>0</v>
      </c>
      <c r="D34" s="798">
        <v>0</v>
      </c>
      <c r="E34" s="798">
        <v>0</v>
      </c>
      <c r="F34" s="799">
        <v>1</v>
      </c>
      <c r="G34" s="797">
        <v>0</v>
      </c>
      <c r="H34" s="798">
        <v>3</v>
      </c>
      <c r="I34" s="798">
        <v>0</v>
      </c>
      <c r="J34" s="799">
        <v>0</v>
      </c>
      <c r="K34" s="797">
        <v>0</v>
      </c>
      <c r="L34" s="798">
        <v>5</v>
      </c>
      <c r="M34" s="798">
        <v>0</v>
      </c>
      <c r="N34" s="799">
        <v>0</v>
      </c>
      <c r="O34" s="797">
        <v>0</v>
      </c>
      <c r="P34" s="798">
        <v>0</v>
      </c>
      <c r="Q34" s="798">
        <v>0</v>
      </c>
      <c r="R34" s="799">
        <v>5</v>
      </c>
      <c r="S34" s="797">
        <v>0</v>
      </c>
      <c r="T34" s="798">
        <v>5</v>
      </c>
      <c r="U34" s="798">
        <v>0</v>
      </c>
      <c r="V34" s="799">
        <v>0</v>
      </c>
      <c r="W34" s="791">
        <f>SUM(C34:V34)</f>
        <v>19</v>
      </c>
      <c r="X34" s="800" t="str">
        <f>IF(COUNTA(C34:V34)=0,"",IF(W33=W34,"ümbervisk",IF(W34&gt;W33,"finaali "&amp;(IF(W34&lt;MAX(W35:W36),2,IF(W34=MAX(W35:W36),"",1))),"pronksi "&amp;(IF(W34&lt;MIN(W35:W36),2,IF(W34=MIN(W35:W36),"",1))))))</f>
        <v>finaali 1</v>
      </c>
    </row>
    <row r="35" spans="1:24" x14ac:dyDescent="0.2">
      <c r="A35" s="90">
        <v>1</v>
      </c>
      <c r="B35" s="801" t="s">
        <v>89</v>
      </c>
      <c r="C35" s="81">
        <v>0</v>
      </c>
      <c r="D35" s="82">
        <v>0</v>
      </c>
      <c r="E35" s="82">
        <v>3</v>
      </c>
      <c r="F35" s="83">
        <v>0</v>
      </c>
      <c r="G35" s="81">
        <v>3</v>
      </c>
      <c r="H35" s="82">
        <v>0</v>
      </c>
      <c r="I35" s="82">
        <v>0</v>
      </c>
      <c r="J35" s="83">
        <v>0</v>
      </c>
      <c r="K35" s="81">
        <v>0</v>
      </c>
      <c r="L35" s="82">
        <v>0</v>
      </c>
      <c r="M35" s="82">
        <v>1</v>
      </c>
      <c r="N35" s="83">
        <v>0</v>
      </c>
      <c r="O35" s="81">
        <v>0</v>
      </c>
      <c r="P35" s="82">
        <v>0</v>
      </c>
      <c r="Q35" s="82">
        <v>3</v>
      </c>
      <c r="R35" s="83">
        <v>0</v>
      </c>
      <c r="S35" s="81">
        <v>0</v>
      </c>
      <c r="T35" s="82">
        <v>0</v>
      </c>
      <c r="U35" s="82">
        <v>0</v>
      </c>
      <c r="V35" s="83">
        <v>3</v>
      </c>
      <c r="W35" s="79">
        <f>SUM(C35:V35)</f>
        <v>13</v>
      </c>
      <c r="X35" s="91" t="str">
        <f>IF(COUNTA(C35:V35)=0,"",IF(W35=W36,"ümbervisk",IF(W35&gt;W36,"finaali "&amp;(IF(W35&lt;MAX(W33:W34),2,IF(W35=MAX(W33:W34),"",1))),"pronksi "&amp;(IF(W35&lt;MIN(W33:W34),2,IF(W35=MIN(W33:W34),"",1))))))</f>
        <v>finaali 2</v>
      </c>
    </row>
    <row r="36" spans="1:24" ht="13.5" thickBot="1" x14ac:dyDescent="0.25">
      <c r="A36" s="92">
        <v>4</v>
      </c>
      <c r="B36" s="802" t="s">
        <v>88</v>
      </c>
      <c r="C36" s="93">
        <v>0</v>
      </c>
      <c r="D36" s="94">
        <v>0</v>
      </c>
      <c r="E36" s="94">
        <v>0</v>
      </c>
      <c r="F36" s="95">
        <v>0</v>
      </c>
      <c r="G36" s="93">
        <v>0</v>
      </c>
      <c r="H36" s="94">
        <v>0</v>
      </c>
      <c r="I36" s="94">
        <v>0</v>
      </c>
      <c r="J36" s="95">
        <v>0</v>
      </c>
      <c r="K36" s="93">
        <v>0</v>
      </c>
      <c r="L36" s="94">
        <v>0</v>
      </c>
      <c r="M36" s="94">
        <v>0</v>
      </c>
      <c r="N36" s="95">
        <v>0</v>
      </c>
      <c r="O36" s="93">
        <v>0</v>
      </c>
      <c r="P36" s="94">
        <v>0</v>
      </c>
      <c r="Q36" s="94">
        <v>0</v>
      </c>
      <c r="R36" s="95">
        <v>0</v>
      </c>
      <c r="S36" s="93">
        <v>0</v>
      </c>
      <c r="T36" s="94">
        <v>0</v>
      </c>
      <c r="U36" s="94">
        <v>0</v>
      </c>
      <c r="V36" s="95">
        <v>0</v>
      </c>
      <c r="W36" s="89">
        <f>SUM(C36:V36)</f>
        <v>0</v>
      </c>
      <c r="X36" s="96" t="str">
        <f>IF(COUNTA(C36:V36)=0,"",IF(W35=W36,"ümbervisk",IF(W36&gt;W35,"finaali "&amp;(IF(W36&lt;MAX(W33:W34),2,IF(W36=MAX(W33:W34),"",1))),"pronksi "&amp;(IF(W36&lt;MIN(W33:W34),2,IF(W36=MIN(W33:W34),"",1))))))</f>
        <v>pronksi 2</v>
      </c>
    </row>
    <row r="37" spans="1:24" x14ac:dyDescent="0.2">
      <c r="A37" s="80"/>
      <c r="B37" s="98" t="s">
        <v>60</v>
      </c>
      <c r="C37" s="71"/>
      <c r="D37" s="72"/>
      <c r="E37" s="72"/>
      <c r="F37" s="73"/>
      <c r="G37" s="71"/>
      <c r="H37" s="72"/>
      <c r="I37" s="72"/>
      <c r="J37" s="73"/>
      <c r="K37" s="71"/>
      <c r="L37" s="72"/>
      <c r="M37" s="72"/>
      <c r="N37" s="73"/>
      <c r="O37" s="71"/>
      <c r="P37" s="72"/>
      <c r="Q37" s="72"/>
      <c r="R37" s="73"/>
      <c r="S37" s="71"/>
      <c r="T37" s="72"/>
      <c r="U37" s="72"/>
      <c r="V37" s="73"/>
      <c r="W37" s="803"/>
      <c r="X37" s="74"/>
    </row>
    <row r="38" spans="1:24" x14ac:dyDescent="0.2">
      <c r="A38" s="90"/>
      <c r="B38" s="801" t="s">
        <v>88</v>
      </c>
      <c r="C38" s="81">
        <v>0</v>
      </c>
      <c r="D38" s="82">
        <v>5</v>
      </c>
      <c r="E38" s="82">
        <v>0</v>
      </c>
      <c r="F38" s="83">
        <v>5</v>
      </c>
      <c r="G38" s="81">
        <v>0</v>
      </c>
      <c r="H38" s="82">
        <v>0</v>
      </c>
      <c r="I38" s="82">
        <v>0</v>
      </c>
      <c r="J38" s="83">
        <v>0</v>
      </c>
      <c r="K38" s="81">
        <v>3</v>
      </c>
      <c r="L38" s="82">
        <v>0</v>
      </c>
      <c r="M38" s="82">
        <v>1</v>
      </c>
      <c r="N38" s="83">
        <v>0</v>
      </c>
      <c r="O38" s="81">
        <v>0</v>
      </c>
      <c r="P38" s="82">
        <v>0</v>
      </c>
      <c r="Q38" s="82">
        <v>0</v>
      </c>
      <c r="R38" s="83">
        <v>0</v>
      </c>
      <c r="S38" s="81">
        <v>0</v>
      </c>
      <c r="T38" s="82">
        <v>3</v>
      </c>
      <c r="U38" s="82">
        <v>0</v>
      </c>
      <c r="V38" s="83">
        <v>5</v>
      </c>
      <c r="W38" s="79">
        <f t="shared" ref="W38:W39" si="3">SUM(C38:V38)</f>
        <v>22</v>
      </c>
      <c r="X38" s="99">
        <f ca="1">IF( INDIRECT("RC[-1]",0)=MAX(( INDIRECT("R[-1]C[-1]",0)):( INDIRECT("R[1]C[-1]",0))),3,4)</f>
        <v>3</v>
      </c>
    </row>
    <row r="39" spans="1:24" x14ac:dyDescent="0.2">
      <c r="A39" s="90"/>
      <c r="B39" s="801" t="s">
        <v>102</v>
      </c>
      <c r="C39" s="804">
        <v>3</v>
      </c>
      <c r="D39" s="805">
        <v>1</v>
      </c>
      <c r="E39" s="805">
        <v>0</v>
      </c>
      <c r="F39" s="806">
        <v>0</v>
      </c>
      <c r="G39" s="804">
        <v>0</v>
      </c>
      <c r="H39" s="805">
        <v>0</v>
      </c>
      <c r="I39" s="805">
        <v>0</v>
      </c>
      <c r="J39" s="807">
        <v>0</v>
      </c>
      <c r="K39" s="804">
        <v>1</v>
      </c>
      <c r="L39" s="805">
        <v>0</v>
      </c>
      <c r="M39" s="805">
        <v>0</v>
      </c>
      <c r="N39" s="806">
        <v>0</v>
      </c>
      <c r="O39" s="804">
        <v>0</v>
      </c>
      <c r="P39" s="805">
        <v>0</v>
      </c>
      <c r="Q39" s="805">
        <v>0</v>
      </c>
      <c r="R39" s="806">
        <v>0</v>
      </c>
      <c r="S39" s="804">
        <v>5</v>
      </c>
      <c r="T39" s="805">
        <v>0</v>
      </c>
      <c r="U39" s="805">
        <v>0</v>
      </c>
      <c r="V39" s="806">
        <v>0</v>
      </c>
      <c r="W39" s="79">
        <f t="shared" si="3"/>
        <v>10</v>
      </c>
      <c r="X39" s="99">
        <v>4</v>
      </c>
    </row>
    <row r="40" spans="1:24" x14ac:dyDescent="0.2">
      <c r="A40" s="90"/>
      <c r="B40" s="808" t="s">
        <v>61</v>
      </c>
      <c r="C40" s="81"/>
      <c r="D40" s="82"/>
      <c r="E40" s="82"/>
      <c r="F40" s="83"/>
      <c r="G40" s="81"/>
      <c r="H40" s="82"/>
      <c r="I40" s="82"/>
      <c r="J40" s="83"/>
      <c r="K40" s="81"/>
      <c r="L40" s="82"/>
      <c r="M40" s="82"/>
      <c r="N40" s="83"/>
      <c r="O40" s="81"/>
      <c r="P40" s="82"/>
      <c r="Q40" s="82"/>
      <c r="R40" s="83"/>
      <c r="S40" s="81"/>
      <c r="T40" s="82"/>
      <c r="U40" s="82"/>
      <c r="V40" s="83"/>
      <c r="W40" s="79"/>
      <c r="X40" s="91"/>
    </row>
    <row r="41" spans="1:24" x14ac:dyDescent="0.2">
      <c r="A41" s="90"/>
      <c r="B41" s="809" t="s">
        <v>89</v>
      </c>
      <c r="C41" s="81">
        <v>1</v>
      </c>
      <c r="D41" s="82">
        <v>0</v>
      </c>
      <c r="E41" s="82">
        <v>5</v>
      </c>
      <c r="F41" s="83">
        <v>0</v>
      </c>
      <c r="G41" s="81">
        <v>0</v>
      </c>
      <c r="H41" s="82">
        <v>0</v>
      </c>
      <c r="I41" s="82">
        <v>0</v>
      </c>
      <c r="J41" s="83">
        <v>0</v>
      </c>
      <c r="K41" s="81">
        <v>0</v>
      </c>
      <c r="L41" s="82">
        <v>0</v>
      </c>
      <c r="M41" s="82">
        <v>3</v>
      </c>
      <c r="N41" s="83">
        <v>1</v>
      </c>
      <c r="O41" s="81">
        <v>0</v>
      </c>
      <c r="P41" s="82">
        <v>0</v>
      </c>
      <c r="Q41" s="82">
        <v>0</v>
      </c>
      <c r="R41" s="83">
        <v>0</v>
      </c>
      <c r="S41" s="81">
        <v>5</v>
      </c>
      <c r="T41" s="82">
        <v>0</v>
      </c>
      <c r="U41" s="82">
        <v>5</v>
      </c>
      <c r="V41" s="83">
        <v>0</v>
      </c>
      <c r="W41" s="79">
        <f>SUM(C41:V41)</f>
        <v>20</v>
      </c>
      <c r="X41" s="99">
        <f ca="1">IF( INDIRECT("RC[-1]",0)=MAX(( INDIRECT("R[-1]C[-1]",0)):( INDIRECT("R[1]C[-1]",0))),1,2)</f>
        <v>2</v>
      </c>
    </row>
    <row r="42" spans="1:24" ht="13.5" thickBot="1" x14ac:dyDescent="0.25">
      <c r="A42" s="92"/>
      <c r="B42" s="802" t="s">
        <v>95</v>
      </c>
      <c r="C42" s="93">
        <v>0</v>
      </c>
      <c r="D42" s="94">
        <v>3</v>
      </c>
      <c r="E42" s="94">
        <v>3</v>
      </c>
      <c r="F42" s="95">
        <v>3</v>
      </c>
      <c r="G42" s="93">
        <v>3</v>
      </c>
      <c r="H42" s="94">
        <v>3</v>
      </c>
      <c r="I42" s="94">
        <v>0</v>
      </c>
      <c r="J42" s="95">
        <v>0</v>
      </c>
      <c r="K42" s="93">
        <v>0</v>
      </c>
      <c r="L42" s="94">
        <v>1</v>
      </c>
      <c r="M42" s="94">
        <v>0</v>
      </c>
      <c r="N42" s="95">
        <v>3</v>
      </c>
      <c r="O42" s="93">
        <v>5</v>
      </c>
      <c r="P42" s="94">
        <v>3</v>
      </c>
      <c r="Q42" s="94">
        <v>0</v>
      </c>
      <c r="R42" s="95">
        <v>0</v>
      </c>
      <c r="S42" s="93">
        <v>5</v>
      </c>
      <c r="T42" s="94">
        <v>0</v>
      </c>
      <c r="U42" s="94">
        <v>5</v>
      </c>
      <c r="V42" s="95">
        <v>5</v>
      </c>
      <c r="W42" s="826">
        <f>SUM(C42:V42)</f>
        <v>42</v>
      </c>
      <c r="X42" s="100">
        <f ca="1">IF( INDIRECT("RC[-1]",0)=MAX(( INDIRECT("R[-1]C[-1]",0)):( INDIRECT("R[1]C[-1]",0))),1,2)</f>
        <v>1</v>
      </c>
    </row>
    <row r="43" spans="1:24" hidden="1" x14ac:dyDescent="0.2"/>
    <row r="44" spans="1:24" hidden="1" x14ac:dyDescent="0.2"/>
    <row r="45" spans="1:24" hidden="1" x14ac:dyDescent="0.2"/>
    <row r="46" spans="1:24" hidden="1" x14ac:dyDescent="0.2"/>
    <row r="47" spans="1:24" hidden="1" x14ac:dyDescent="0.2"/>
    <row r="48" spans="1:2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3" hidden="1" x14ac:dyDescent="0.2"/>
    <row r="290" spans="1:13" hidden="1" x14ac:dyDescent="0.2"/>
    <row r="291" spans="1:13" hidden="1" x14ac:dyDescent="0.2"/>
    <row r="292" spans="1:13" hidden="1" x14ac:dyDescent="0.2"/>
    <row r="293" spans="1:13" hidden="1" x14ac:dyDescent="0.2"/>
    <row r="294" spans="1:13" hidden="1" x14ac:dyDescent="0.2"/>
    <row r="295" spans="1:13" hidden="1" x14ac:dyDescent="0.2"/>
    <row r="296" spans="1:13" hidden="1" x14ac:dyDescent="0.2"/>
    <row r="297" spans="1:13" hidden="1" x14ac:dyDescent="0.2"/>
    <row r="299" spans="1:13" x14ac:dyDescent="0.2">
      <c r="D299" s="814" t="s">
        <v>190</v>
      </c>
    </row>
    <row r="300" spans="1:13" x14ac:dyDescent="0.2">
      <c r="A300" s="102">
        <v>1</v>
      </c>
      <c r="B300" s="105" t="s">
        <v>95</v>
      </c>
      <c r="C300" s="55">
        <v>40</v>
      </c>
      <c r="E300" s="101"/>
      <c r="F300" s="101"/>
      <c r="G300" s="101"/>
      <c r="H300" s="101"/>
      <c r="I300" s="101"/>
      <c r="J300" s="101"/>
      <c r="K300" s="101"/>
      <c r="L300" s="101"/>
      <c r="M300" s="101"/>
    </row>
    <row r="301" spans="1:13" x14ac:dyDescent="0.2">
      <c r="A301" s="102">
        <v>2</v>
      </c>
      <c r="B301" s="103" t="s">
        <v>89</v>
      </c>
      <c r="C301" s="55">
        <v>34</v>
      </c>
      <c r="E301" s="101"/>
      <c r="F301" s="101"/>
      <c r="G301" s="101"/>
      <c r="H301" s="101"/>
      <c r="I301" s="101"/>
      <c r="J301" s="101"/>
      <c r="K301" s="101"/>
      <c r="L301" s="101"/>
      <c r="M301" s="101"/>
    </row>
    <row r="302" spans="1:13" x14ac:dyDescent="0.2">
      <c r="A302" s="102">
        <v>3</v>
      </c>
      <c r="B302" s="810" t="s">
        <v>88</v>
      </c>
      <c r="C302" s="55">
        <v>30</v>
      </c>
      <c r="E302" s="101"/>
      <c r="F302" s="101"/>
      <c r="G302" s="101"/>
      <c r="H302" s="101"/>
      <c r="I302" s="101"/>
      <c r="J302" s="101"/>
      <c r="K302" s="101"/>
      <c r="L302" s="101"/>
      <c r="M302" s="101"/>
    </row>
    <row r="303" spans="1:13" x14ac:dyDescent="0.2">
      <c r="A303" s="102">
        <v>4</v>
      </c>
      <c r="B303" s="815" t="s">
        <v>102</v>
      </c>
      <c r="C303" s="55">
        <v>26</v>
      </c>
      <c r="E303" s="101"/>
      <c r="F303" s="101"/>
      <c r="G303" s="101"/>
      <c r="H303" s="101"/>
      <c r="I303" s="101"/>
      <c r="J303" s="101"/>
      <c r="L303" s="101"/>
      <c r="M303" s="101"/>
    </row>
    <row r="304" spans="1:13" x14ac:dyDescent="0.2">
      <c r="A304" s="102">
        <v>5</v>
      </c>
      <c r="B304" s="811" t="s">
        <v>90</v>
      </c>
      <c r="C304" s="32">
        <v>24</v>
      </c>
      <c r="E304" s="101"/>
      <c r="F304" s="101"/>
      <c r="G304" s="101"/>
      <c r="H304" s="101"/>
      <c r="I304" s="101"/>
      <c r="J304" s="101"/>
      <c r="K304" s="101"/>
      <c r="L304" s="101"/>
      <c r="M304" s="101"/>
    </row>
    <row r="305" spans="1:13" x14ac:dyDescent="0.2">
      <c r="A305" s="102">
        <v>6</v>
      </c>
      <c r="B305" s="812" t="s">
        <v>96</v>
      </c>
      <c r="C305" s="32">
        <v>22</v>
      </c>
      <c r="E305" s="101"/>
      <c r="F305" s="101"/>
      <c r="G305" s="101"/>
      <c r="H305" s="101"/>
      <c r="I305" s="101"/>
      <c r="J305" s="101"/>
      <c r="K305" s="101"/>
      <c r="L305" s="101"/>
      <c r="M305" s="101"/>
    </row>
    <row r="306" spans="1:13" x14ac:dyDescent="0.2">
      <c r="A306" s="102">
        <v>7</v>
      </c>
      <c r="B306" s="813" t="s">
        <v>93</v>
      </c>
      <c r="C306" s="32">
        <v>19</v>
      </c>
      <c r="E306" s="101"/>
      <c r="F306" s="101"/>
      <c r="G306" s="101"/>
      <c r="H306" s="101"/>
      <c r="I306" s="101"/>
      <c r="J306" s="101"/>
      <c r="K306" s="101"/>
      <c r="L306" s="101"/>
      <c r="M306" s="101"/>
    </row>
    <row r="307" spans="1:13" x14ac:dyDescent="0.2">
      <c r="A307" s="102">
        <v>7</v>
      </c>
      <c r="B307" s="812" t="s">
        <v>101</v>
      </c>
      <c r="C307" s="32">
        <v>19</v>
      </c>
      <c r="E307" s="101"/>
      <c r="F307" s="101"/>
      <c r="G307" s="101"/>
      <c r="H307" s="101"/>
      <c r="I307" s="101"/>
      <c r="J307" s="101"/>
      <c r="K307" s="97"/>
      <c r="L307" s="101"/>
      <c r="M307" s="101"/>
    </row>
    <row r="308" spans="1:13" x14ac:dyDescent="0.2">
      <c r="D308" s="32"/>
    </row>
    <row r="309" spans="1:13" x14ac:dyDescent="0.2">
      <c r="D309" s="32"/>
    </row>
    <row r="310" spans="1:13" x14ac:dyDescent="0.2">
      <c r="D310" s="277"/>
    </row>
  </sheetData>
  <conditionalFormatting sqref="W38:W42">
    <cfRule type="top10" dxfId="2564" priority="22" rank="1"/>
  </conditionalFormatting>
  <conditionalFormatting sqref="W33:W34">
    <cfRule type="top10" dxfId="2563" priority="25" rank="1"/>
  </conditionalFormatting>
  <conditionalFormatting sqref="W35:W36">
    <cfRule type="top10" dxfId="2562" priority="24" rank="1"/>
  </conditionalFormatting>
  <conditionalFormatting sqref="W38:W39">
    <cfRule type="top10" dxfId="2561" priority="23" rank="1"/>
  </conditionalFormatting>
  <conditionalFormatting sqref="B306">
    <cfRule type="duplicateValues" dxfId="2560" priority="21" stopIfTrue="1"/>
  </conditionalFormatting>
  <conditionalFormatting sqref="X33:X36">
    <cfRule type="duplicateValues" dxfId="2559" priority="26"/>
  </conditionalFormatting>
  <conditionalFormatting sqref="B33">
    <cfRule type="duplicateValues" dxfId="2558" priority="20" stopIfTrue="1"/>
  </conditionalFormatting>
  <conditionalFormatting sqref="B34">
    <cfRule type="duplicateValues" dxfId="2557" priority="19" stopIfTrue="1"/>
  </conditionalFormatting>
  <conditionalFormatting sqref="X9:X16">
    <cfRule type="duplicateValues" dxfId="2556" priority="2940"/>
    <cfRule type="top10" dxfId="2555" priority="2941" stopIfTrue="1" rank="100"/>
  </conditionalFormatting>
  <conditionalFormatting sqref="B9:B16">
    <cfRule type="duplicateValues" dxfId="2554" priority="2942" stopIfTrue="1"/>
  </conditionalFormatting>
  <conditionalFormatting sqref="B300:B303 B307">
    <cfRule type="duplicateValues" dxfId="2553" priority="2944" stopIfTrue="1"/>
  </conditionalFormatting>
  <conditionalFormatting sqref="W9:W42">
    <cfRule type="top10" dxfId="2552" priority="2945" stopIfTrue="1" rank="1"/>
  </conditionalFormatting>
  <conditionalFormatting sqref="W24:W25">
    <cfRule type="top10" dxfId="2551" priority="6" rank="1"/>
  </conditionalFormatting>
  <conditionalFormatting sqref="W26:W27">
    <cfRule type="top10" dxfId="2550" priority="5" rank="1"/>
  </conditionalFormatting>
  <conditionalFormatting sqref="W28:W29">
    <cfRule type="top10" dxfId="2549" priority="4" rank="1"/>
  </conditionalFormatting>
  <conditionalFormatting sqref="B28">
    <cfRule type="duplicateValues" dxfId="2548" priority="3" stopIfTrue="1"/>
  </conditionalFormatting>
  <conditionalFormatting sqref="B30">
    <cfRule type="duplicateValues" dxfId="2547" priority="2" stopIfTrue="1"/>
  </conditionalFormatting>
  <conditionalFormatting sqref="X24:X31">
    <cfRule type="duplicateValues" dxfId="2546" priority="7"/>
    <cfRule type="top10" dxfId="2545" priority="8" stopIfTrue="1" rank="4"/>
  </conditionalFormatting>
  <conditionalFormatting sqref="B29">
    <cfRule type="duplicateValues" dxfId="2544" priority="1" stopIfTrue="1"/>
  </conditionalFormatting>
  <pageMargins left="0.78740157480314965" right="0.31496062992125984" top="0.78740157480314965" bottom="0.39370078740157483" header="0.59055118110236227" footer="0"/>
  <pageSetup paperSize="9" fitToHeight="0" orientation="portrait" r:id="rId1"/>
  <headerFooter alignWithMargins="0">
    <oddHeader>&amp;R&amp;"Arial,Regular"&amp;9Page &amp;P of &amp;N</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F0"/>
    <pageSetUpPr fitToPage="1"/>
  </sheetPr>
  <dimension ref="A1:N316"/>
  <sheetViews>
    <sheetView showGridLines="0" showRowColHeaders="0" zoomScaleNormal="100" workbookViewId="0">
      <pane ySplit="2" topLeftCell="A3" activePane="bottomLeft" state="frozen"/>
      <selection activeCell="K1" sqref="K1"/>
      <selection pane="bottomLeft" activeCell="I1" sqref="I1"/>
    </sheetView>
  </sheetViews>
  <sheetFormatPr defaultRowHeight="12.75" x14ac:dyDescent="0.2"/>
  <cols>
    <col min="1" max="1" width="5.5703125" style="277" customWidth="1"/>
    <col min="2" max="2" width="32" style="277" bestFit="1" customWidth="1"/>
    <col min="3" max="9" width="6.7109375" style="277" customWidth="1"/>
    <col min="10" max="10" width="6.7109375" style="277" hidden="1" customWidth="1"/>
    <col min="11" max="12" width="4.7109375" style="277" customWidth="1"/>
    <col min="13" max="13" width="6.7109375" style="277" hidden="1" customWidth="1"/>
    <col min="14" max="16384" width="9.140625" style="277"/>
  </cols>
  <sheetData>
    <row r="1" spans="1:14" x14ac:dyDescent="0.2">
      <c r="A1" s="31" t="str">
        <f>UPPER((Kalend!E28)&amp;" - "&amp;(Kalend!C28)&amp;" - "&amp;(Kalend!D28))</f>
        <v>6 - JÕHVI 18. MV - DUO</v>
      </c>
      <c r="E1" s="495" t="str">
        <f>HYPERLINK("#'Kalend'!I1","Kalender")</f>
        <v>Kalender</v>
      </c>
      <c r="G1" s="495" t="str">
        <f>HYPERLINK("#'Reit'!T1","Reiting")</f>
        <v>Reiting</v>
      </c>
      <c r="J1" s="169" t="s">
        <v>180</v>
      </c>
      <c r="M1" s="497"/>
    </row>
    <row r="2" spans="1:14" x14ac:dyDescent="0.2">
      <c r="A2" s="2" t="str">
        <f>"Toimumisaeg: "&amp;(Kalend!A28)&amp;" kell "&amp;(Kalend!B28)</f>
        <v>Toimumisaeg: N, 12.07.2018 kell 17:30</v>
      </c>
    </row>
    <row r="3" spans="1:14" x14ac:dyDescent="0.2">
      <c r="A3" s="2" t="str">
        <f>"Toimumiskoht: "&amp;(Kalend!F28)</f>
        <v>Toimumiskoht: Jõhvi, Neptun</v>
      </c>
    </row>
    <row r="4" spans="1:14" x14ac:dyDescent="0.2">
      <c r="A4" s="2" t="str">
        <f>"Korraldaja: "&amp;(Kalend!G28)</f>
        <v>Korraldaja: LTK Üks-Teist, Tõnu Kapper</v>
      </c>
    </row>
    <row r="5" spans="1:14" x14ac:dyDescent="0.2">
      <c r="A5" s="55"/>
      <c r="B5" s="55"/>
      <c r="C5" s="55"/>
      <c r="D5" s="55"/>
      <c r="E5" s="55"/>
      <c r="F5" s="55"/>
      <c r="G5" s="55"/>
      <c r="H5" s="55"/>
    </row>
    <row r="6" spans="1:14" s="506" customFormat="1" x14ac:dyDescent="0.2">
      <c r="A6" s="500" t="s">
        <v>140</v>
      </c>
      <c r="B6" s="501"/>
      <c r="C6" s="502">
        <v>1</v>
      </c>
      <c r="D6" s="502">
        <v>2</v>
      </c>
      <c r="E6" s="502">
        <v>3</v>
      </c>
      <c r="F6" s="502">
        <v>4</v>
      </c>
      <c r="G6" s="502"/>
      <c r="H6" s="502" t="s">
        <v>363</v>
      </c>
      <c r="I6" s="501" t="s">
        <v>26</v>
      </c>
      <c r="J6" s="503" t="s">
        <v>156</v>
      </c>
      <c r="K6" s="504" t="s">
        <v>156</v>
      </c>
      <c r="L6" s="505" t="s">
        <v>364</v>
      </c>
      <c r="M6" s="506" t="b">
        <f>OR(AND(COUNTA(B7:B11)=3,COUNTA(C7:G11)=6),AND(COUNTA(B7:B11)=4,COUNTA(C7:G11)=12),AND(COUNTA(B7:B11)=5,COUNTA(C7:G11)=20))</f>
        <v>1</v>
      </c>
      <c r="N6" s="668"/>
    </row>
    <row r="7" spans="1:14" s="506" customFormat="1" x14ac:dyDescent="0.2">
      <c r="A7" s="500">
        <v>1</v>
      </c>
      <c r="B7" s="177" t="s">
        <v>480</v>
      </c>
      <c r="C7" s="509"/>
      <c r="D7" s="836">
        <v>13</v>
      </c>
      <c r="E7" s="851">
        <v>13</v>
      </c>
      <c r="F7" s="851">
        <v>10</v>
      </c>
      <c r="G7" s="510"/>
      <c r="H7" s="1309" t="str">
        <f>(IF(D7-C8&gt;0,1)+IF(E7-C9&gt;0,1)+IF(F7-C10&gt;0,1)+IF(G7-C11&gt;0,1))&amp;"-"&amp;(IF(D7-C8&lt;0,1)+IF(E7-C9&lt;0,1)+IF(F7-C10&lt;0,1)+IF(G7-C11&lt;0,1))</f>
        <v>2-1</v>
      </c>
      <c r="I7" s="510" t="str">
        <f>IF(AND(B7&lt;&gt;"",M$6=TRUE),A$6&amp;RANK(M7,M$7:M$11,0),"")</f>
        <v>A1</v>
      </c>
      <c r="J7" s="512">
        <f>VALUE(LEFT(H7,1))</f>
        <v>2</v>
      </c>
      <c r="K7" s="1310">
        <f>IF(AND(J7=1,J8=1,D7&gt;C8),1)+IF(AND(J7=1,J9=1,E7&gt;C9),1)+IF(AND(J7=1,J10=1,F7&gt;C10),1)+IF(AND(J7=1,J11=1,G7&gt;C11),1)+IF(AND(J7=2,J8=2,D7&gt;C8),1)+IF(AND(J7=2,J9=2,E7&gt;C9),1)+IF(AND(J7=2,J10=2,F7&gt;C10),1)+IF(AND(J7=2,J11=2,G7&gt;C11),1)+IF(AND(J7=3,J8=3,D7&gt;C8),1)+IF(AND(J7=3,J9=3,E7&gt;C9),1)+IF(AND(J7=3,J10=3,F7&gt;C10),1)+IF(AND(J7=3,J11=3,G7&gt;C11),1)</f>
        <v>1</v>
      </c>
      <c r="L7" s="1306">
        <f>IF(AND(J7=1,J8=1),D7-C8)+IF(AND(J7=1,J9=1),E7-C9)+IF(AND(J7=1,J10=1),F7-C10)+IF(AND(J7=1,J11=1),G7-C11)+IF(AND(J7=2,J8=2),D7-C8)+IF(AND(J7=2,J9=2),E7-C9)+IF(AND(J7=2,J10=2),F7-C10)+IF(AND(J7=2,J11=2),G7-C11)+IF(AND(J7=3,J8=3),D7-C8)+IF(AND(J7=3,J9=3),E7-C9)+IF(AND(J7=3,J10=3),F7-C10)+IF(AND(J7=3,J11=3),G7-C11)</f>
        <v>7</v>
      </c>
      <c r="M7" s="515">
        <f>10000*J7+K7*100+L7</f>
        <v>20107</v>
      </c>
      <c r="N7" s="668"/>
    </row>
    <row r="8" spans="1:14" s="506" customFormat="1" x14ac:dyDescent="0.2">
      <c r="A8" s="500">
        <v>2</v>
      </c>
      <c r="B8" s="518" t="s">
        <v>581</v>
      </c>
      <c r="C8" s="510">
        <v>11</v>
      </c>
      <c r="D8" s="509"/>
      <c r="E8" s="510">
        <v>11</v>
      </c>
      <c r="F8" s="510">
        <v>12</v>
      </c>
      <c r="G8" s="510"/>
      <c r="H8" s="511" t="str">
        <f>(IF(C8-D7&gt;0,1)+IF(E8-D9&gt;0,1)+IF(F8-D10&gt;0,1)+IF(G8-D11&gt;0,1))&amp;"-"&amp;(IF(C8-D7&lt;0,1)+IF(E8-D9&lt;0,1)+IF(F8-D10&lt;0,1)+IF(G8-D11&lt;0,1))</f>
        <v>0-3</v>
      </c>
      <c r="I8" s="510" t="str">
        <f>IF(AND(B8&lt;&gt;"",M$6=TRUE),A$6&amp;RANK(M8,M$7:M$11,0),"")</f>
        <v>A4</v>
      </c>
      <c r="J8" s="512">
        <f t="shared" ref="J8:J11" si="0">VALUE(LEFT(H8,1))</f>
        <v>0</v>
      </c>
      <c r="K8" s="639">
        <f>IF(AND(J8=1,J7=1,C8&gt;D7),1)+IF(AND(J8=1,J9=1,E8&gt;D9),1)+IF(AND(J8=1,J10=1,F8&gt;D10),1)+IF(AND(J8=1,J11=1,G8&gt;D11),1)+IF(AND(J8=2,J7=2,C8&gt;D7),1)+IF(AND(J8=2,J9=2,E8&gt;D9),1)+IF(AND(J8=2,J10=2,F8&gt;D10),1)+IF(AND(J8=2,J11=2,G8&gt;D11),1)+IF(AND(J8=3,J7=3,C8&gt;D7),1)+IF(AND(J8=3,J9=3,E8&gt;D9),1)+IF(AND(J8=3,J10=3,F8&gt;D10),1)+IF(AND(J8=3,J11=3,G8&gt;D11),1)</f>
        <v>0</v>
      </c>
      <c r="L8" s="1305">
        <f>IF(AND(J8=1,J7=1),C8-D7)+IF(AND(J8=1,J9=1),E8-D9)+IF(AND(J8=1,J10=1),F8-D10)+IF(AND(J8=1,J11=1),G8-D11)+IF(AND(J8=2,J7=2),C8-D7)+IF(AND(J8=2,J9=2),E8-D9)+IF(AND(J8=2,J10=2),F8-D10)+IF(AND(J8=2,J11=2),G8-D11)+IF(AND(J8=3,J7=3),C8-D7)+IF(AND(J8=3,J9=3),E8-D9)+IF(AND(J8=3,J10=3),F8-D10)+IF(AND(J8=3,J11=3),G8-D11)</f>
        <v>0</v>
      </c>
      <c r="M8" s="515">
        <f t="shared" ref="M8:M11" si="1">10000*J8+K8*100+L8</f>
        <v>0</v>
      </c>
      <c r="N8" s="668"/>
    </row>
    <row r="9" spans="1:14" s="506" customFormat="1" x14ac:dyDescent="0.2">
      <c r="A9" s="500">
        <v>3</v>
      </c>
      <c r="B9" s="33" t="s">
        <v>35</v>
      </c>
      <c r="C9" s="851">
        <v>4</v>
      </c>
      <c r="D9" s="520">
        <v>13</v>
      </c>
      <c r="E9" s="509"/>
      <c r="F9" s="851">
        <v>12</v>
      </c>
      <c r="G9" s="510"/>
      <c r="H9" s="1309" t="str">
        <f>(IF(C9-E7&gt;0,1)+IF(D9-E8&gt;0,1)+IF(F9-E10&gt;0,1)+IF(G9-E11&gt;0,1))&amp;"-"&amp;(IF(C9-E7&lt;0,1)+IF(D9-E8&lt;0,1)+IF(F9-E10&lt;0,1)+IF(G9-E11&lt;0,1))</f>
        <v>2-1</v>
      </c>
      <c r="I9" s="510" t="str">
        <f>IF(AND(B9&lt;&gt;"",M$6=TRUE),A$6&amp;RANK(M9,M$7:M$11,0),"")</f>
        <v>A3</v>
      </c>
      <c r="J9" s="512">
        <f t="shared" si="0"/>
        <v>2</v>
      </c>
      <c r="K9" s="1311">
        <f>IF(AND(J9=1,J7=1,C9&gt;E7),1)+IF(AND(J9=1,J8=1,D9&gt;E8),1)+IF(AND(J9=1,J10=1,F9&gt;E10),1)+IF(AND(J9=1,J11=1,G9&gt;E11),1)+IF(AND(J9=2,J7=2,C9&gt;E7),1)+IF(AND(J9=2,J8=2,D9&gt;E8),1)+IF(AND(J9=2,J10=2,F9&gt;E10),1)+IF(AND(J9=2,J11=2,G9&gt;E11),1)+IF(AND(J9=3,J7=3,C9&gt;E7),1)+IF(AND(J9=3,J8=3,D9&gt;E8),1)+IF(AND(J9=3,J10=3,F9&gt;E10),1)+IF(AND(J9=3,J11=3,G9&gt;E11),1)</f>
        <v>1</v>
      </c>
      <c r="L9" s="1306">
        <f>IF(AND(J9=1,J7=1),C9-E7)+IF(AND(J9=1,J8=1),D9-E8)+IF(AND(J9=1,J10=1),F9-E10)+IF(AND(J9=1,J11=1),G9-E11)+IF(AND(J9=2,J7=2),C9-E7)+IF(AND(J9=2,J8=2),D9-E8)+IF(AND(J9=2,J10=2),F9-E10)+IF(AND(J9=2,J11=2),G9-E11)+IF(AND(J9=3,J7=3),C9-E7)+IF(AND(J9=3,J8=3),D9-E8)+IF(AND(J9=3,J10=3),F9-E10)+IF(AND(J9=3,J11=3),G9-E11)</f>
        <v>-5</v>
      </c>
      <c r="M9" s="515">
        <f t="shared" si="1"/>
        <v>20095</v>
      </c>
      <c r="N9" s="668"/>
    </row>
    <row r="10" spans="1:14" s="506" customFormat="1" x14ac:dyDescent="0.2">
      <c r="A10" s="500">
        <v>4</v>
      </c>
      <c r="B10" s="521" t="s">
        <v>483</v>
      </c>
      <c r="C10" s="851">
        <v>12</v>
      </c>
      <c r="D10" s="520">
        <v>13</v>
      </c>
      <c r="E10" s="851">
        <v>8</v>
      </c>
      <c r="F10" s="509"/>
      <c r="G10" s="522"/>
      <c r="H10" s="1309" t="str">
        <f>(IF(C10-F7&gt;0,1)+IF(D10-F8&gt;0,1)+IF(E10-F9&gt;0,1)+IF(G10-F11&gt;0,1))&amp;"-"&amp;(IF(C10-F7&lt;0,1)+IF(D10-F8&lt;0,1)+IF(E10-F9&lt;0,1)+IF(G10-F11&lt;0,1))</f>
        <v>2-1</v>
      </c>
      <c r="I10" s="510" t="str">
        <f>IF(AND(B10&lt;&gt;"",M$6=TRUE),A$6&amp;RANK(M10,M$7:M$11,0),"")</f>
        <v>A2</v>
      </c>
      <c r="J10" s="512">
        <f t="shared" si="0"/>
        <v>2</v>
      </c>
      <c r="K10" s="1311">
        <f>IF(AND(J10=1,J7=1,C10&gt;F7),1)+IF(AND(J10=1,J8=1,D10&gt;F8),1)+IF(AND(J10=1,J9=1,E10&gt;F9),1)+IF(AND(J10=1,J11=1,G10&gt;F11),1)+IF(AND(J10=2,J7=2,C10&gt;F7),1)+IF(AND(J10=2,J8=2,D10&gt;F8),1)+IF(AND(J10=2,J9=2,E10&gt;F9),1)+IF(AND(J10=2,J11=2,G10&gt;F11),1)+IF(AND(J10=3,J7=3,C10&gt;F7),1)+IF(AND(J10=3,J8=3,D10&gt;F8),1)+IF(AND(J10=3,J9=3,E10&gt;F9),1)+IF(AND(J10=3,J11=3,G10&gt;F11),1)</f>
        <v>1</v>
      </c>
      <c r="L10" s="1306">
        <f>IF(AND(J10=1,J7=1),C10-F7)+IF(AND(J10=1,J8=1),D10-F8)+IF(AND(J10=1,J9=1),E10-F9)+IF(AND(J10=1,J11=1),G10-F11)+IF(AND(J10=2,J7=2),C10-F7)+IF(AND(J10=2,J8=2),D10-F8)+IF(AND(J10=2,J9=2),E10-F9)+IF(AND(J10=2,J11=2),G10-F11)+IF(AND(J10=3,J7=3),C10-F7)+IF(AND(J10=3,J8=3),D10-F8)+IF(AND(J10=3,J9=3),E10-F9)+IF(AND(J10=3,J11=3),G10-F11)</f>
        <v>-2</v>
      </c>
      <c r="M10" s="515">
        <f t="shared" si="1"/>
        <v>20098</v>
      </c>
      <c r="N10" s="668"/>
    </row>
    <row r="11" spans="1:14" s="506" customFormat="1" hidden="1" x14ac:dyDescent="0.2">
      <c r="A11" s="500">
        <v>5</v>
      </c>
      <c r="B11" s="521"/>
      <c r="C11" s="510"/>
      <c r="D11" s="510"/>
      <c r="E11" s="510"/>
      <c r="F11" s="510"/>
      <c r="G11" s="509"/>
      <c r="H11" s="511" t="str">
        <f>(IF(C11-G7&gt;0,1)+IF(D11-G8&gt;0,1)+IF(E11-G9&gt;0,1)+IF(F11-G10&gt;0,1))&amp;"-"&amp;(IF(C11-G7&lt;0,1)+IF(D11-G8&lt;0,1)+IF(E11-G9&lt;0,1)+IF(F11-G10&lt;0,1))</f>
        <v>0-0</v>
      </c>
      <c r="I11" s="510" t="str">
        <f>IF(AND(B11&lt;&gt;"",M$6=TRUE),A$6&amp;RANK(M11,M$7:M$11,0),"")</f>
        <v/>
      </c>
      <c r="J11" s="512">
        <f t="shared" si="0"/>
        <v>0</v>
      </c>
      <c r="K11" s="639">
        <f>IF(AND(J11=1,J7=1,C11&gt;G7),1)+IF(AND(J11=1,J8=1,D11&gt;G8),1)+IF(AND(J11=1,J9=1,E11&gt;G9),1)+IF(AND(J11=1,J10=1,F11&gt;G10),1)+IF(AND(J11=2,J7=2,C11&gt;G7),1)+IF(AND(J11=2,J8=2,D11&gt;G8),1)+IF(AND(J11=2,J9=2,E11&gt;G9),1)+IF(AND(J11=2,J10=2,F11&gt;G10),1)+IF(AND(J11=3,J7=3,C11&gt;G7),1)+IF(AND(J11=3,J8=3,D11&gt;G8),1)+IF(AND(J11=3,J9=3,E11&gt;G9),1)+IF(AND(J11=3,J10=3,F11&gt;G10),1)</f>
        <v>0</v>
      </c>
      <c r="L11" s="1305">
        <f>IF(AND(J11=1,J7=1),C11-G7)+IF(AND(J11=1,J8=1),D11-G8)+IF(AND(J11=1,J9=1),E11-G9)+IF(AND(J11=1,J10=1),F11-G10)+IF(AND(J11=2,J7=2),C11-G7)+IF(AND(J11=2,J8=2),D11-G8)+IF(AND(J11=2,J9=2),E11-G9)+IF(AND(J11=2,J10=2),F11-G10)+IF(AND(J11=3,J7=3),C11-G7)+IF(AND(J11=3,J8=3),D11-G8)+IF(AND(J11=3,J9=3),E11-G9)+IF(AND(J11=3,J10=3),F11-G10)</f>
        <v>0</v>
      </c>
      <c r="M11" s="515">
        <f t="shared" si="1"/>
        <v>0</v>
      </c>
      <c r="N11" s="668"/>
    </row>
    <row r="12" spans="1:14" s="506" customFormat="1" x14ac:dyDescent="0.2">
      <c r="A12" s="523"/>
      <c r="B12" s="524"/>
      <c r="C12" s="525"/>
      <c r="D12" s="526"/>
      <c r="E12" s="525"/>
      <c r="F12" s="527"/>
      <c r="H12" s="528"/>
      <c r="I12" s="529"/>
      <c r="J12" s="496"/>
      <c r="K12" s="530"/>
      <c r="L12" s="531"/>
      <c r="M12" s="496"/>
      <c r="N12" s="668"/>
    </row>
    <row r="13" spans="1:14" s="498" customFormat="1" x14ac:dyDescent="0.2">
      <c r="A13" s="500" t="s">
        <v>141</v>
      </c>
      <c r="B13" s="501"/>
      <c r="C13" s="502">
        <v>1</v>
      </c>
      <c r="D13" s="502">
        <v>2</v>
      </c>
      <c r="E13" s="502">
        <v>3</v>
      </c>
      <c r="F13" s="502">
        <v>4</v>
      </c>
      <c r="G13" s="502"/>
      <c r="H13" s="501" t="s">
        <v>363</v>
      </c>
      <c r="I13" s="501" t="s">
        <v>26</v>
      </c>
      <c r="J13" s="533" t="s">
        <v>156</v>
      </c>
      <c r="K13" s="504" t="s">
        <v>156</v>
      </c>
      <c r="L13" s="534" t="s">
        <v>364</v>
      </c>
      <c r="M13" s="535" t="b">
        <f>OR(AND(COUNTA(B14:B18)=3,COUNTA(C14:G18)=6),AND(COUNTA(B14:B18)=4,COUNTA(C14:G18)=12),AND(COUNTA(B14:B18)=5,COUNTA(C14:G18)=20))</f>
        <v>1</v>
      </c>
      <c r="N13" s="668"/>
    </row>
    <row r="14" spans="1:14" s="498" customFormat="1" x14ac:dyDescent="0.2">
      <c r="A14" s="500">
        <v>1</v>
      </c>
      <c r="B14" s="583" t="s">
        <v>33</v>
      </c>
      <c r="C14" s="509"/>
      <c r="D14" s="510">
        <v>13</v>
      </c>
      <c r="E14" s="510">
        <v>13</v>
      </c>
      <c r="F14" s="510">
        <v>13</v>
      </c>
      <c r="G14" s="510"/>
      <c r="H14" s="511" t="str">
        <f>(IF(D14-C15&gt;0,1)+IF(E14-C16&gt;0,1)+IF(F14-C17&gt;0,1)+IF(G14-C18&gt;0,1))&amp;"-"&amp;(IF(D14-C15&lt;0,1)+IF(E14-C16&lt;0,1)+IF(F14-C17&lt;0,1)+IF(G14-C18&lt;0,1))</f>
        <v>3-0</v>
      </c>
      <c r="I14" s="510" t="str">
        <f>IF(AND(B14&lt;&gt;"",M$13=TRUE),A$13&amp;RANK(M14,M$14:M$18,0),"")</f>
        <v>B1</v>
      </c>
      <c r="J14" s="512">
        <f>VALUE(LEFT(H14,1))</f>
        <v>3</v>
      </c>
      <c r="K14" s="513">
        <f>IF(AND(J14=1,J15=1,D14&gt;C15),1)+IF(AND(J14=1,J16=1,E14&gt;C16),1)+IF(AND(J14=1,J17=1,F14&gt;C17),1)+IF(AND(J14=1,J18=1,G14&gt;C18),1)+IF(AND(J14=2,J15=2,D14&gt;C15),1)+IF(AND(J14=2,J16=2,E14&gt;C16),1)+IF(AND(J14=2,J17=2,F14&gt;C17),1)+IF(AND(J14=2,J18=2,G14&gt;C18),1)+IF(AND(J14=3,J15=3,D14&gt;C15),1)+IF(AND(J14=3,J16=3,E14&gt;C16),1)+IF(AND(J14=3,J17=3,F14&gt;C17),1)+IF(AND(J14=3,J18=3,G14&gt;C18),1)</f>
        <v>0</v>
      </c>
      <c r="L14" s="1305">
        <f>IF(AND(J14=1,J15=1),D14-C15)+IF(AND(J14=1,J16=1),E14-C16)+IF(AND(J14=1,J17=1),F14-C17)+IF(AND(J14=1,J18=1),G14-C18)+IF(AND(J14=2,J15=2),D14-C15)+IF(AND(J14=2,J16=2),E14-C16)+IF(AND(J14=2,J17=2),F14-C17)+IF(AND(J14=2,J18=2),G14-C18)+IF(AND(J14=3,J15=3),D14-C15)+IF(AND(J14=3,J16=3),E14-C16)+IF(AND(J14=3,J17=3),F14-C17)+IF(AND(J14=3,J18=3),G14-C18)</f>
        <v>0</v>
      </c>
      <c r="M14" s="515">
        <f>10000*J14+K14*100+L14</f>
        <v>30000</v>
      </c>
      <c r="N14" s="668"/>
    </row>
    <row r="15" spans="1:14" s="498" customFormat="1" x14ac:dyDescent="0.2">
      <c r="A15" s="500">
        <v>2</v>
      </c>
      <c r="B15" s="583" t="s">
        <v>38</v>
      </c>
      <c r="C15" s="510">
        <v>5</v>
      </c>
      <c r="D15" s="509"/>
      <c r="E15" s="510">
        <v>13</v>
      </c>
      <c r="F15" s="510">
        <v>13</v>
      </c>
      <c r="G15" s="510"/>
      <c r="H15" s="511" t="str">
        <f>(IF(C15-D14&gt;0,1)+IF(E15-D16&gt;0,1)+IF(F15-D17&gt;0,1)+IF(G15-D18&gt;0,1))&amp;"-"&amp;(IF(C15-D14&lt;0,1)+IF(E15-D16&lt;0,1)+IF(F15-D17&lt;0,1)+IF(G15-D18&lt;0,1))</f>
        <v>2-1</v>
      </c>
      <c r="I15" s="510" t="str">
        <f>IF(AND(B15&lt;&gt;"",M$13=TRUE),A$13&amp;RANK(M15,M$14:M$18,0),"")</f>
        <v>B2</v>
      </c>
      <c r="J15" s="512">
        <f t="shared" ref="J15:J18" si="2">VALUE(LEFT(H15,1))</f>
        <v>2</v>
      </c>
      <c r="K15" s="639">
        <f>IF(AND(J15=1,J14=1,C15&gt;D14),1)+IF(AND(J15=1,J16=1,E15&gt;D16),1)+IF(AND(J15=1,J17=1,F15&gt;D17),1)+IF(AND(J15=1,J18=1,G15&gt;D18),1)+IF(AND(J15=2,J14=2,C15&gt;D14),1)+IF(AND(J15=2,J16=2,E15&gt;D16),1)+IF(AND(J15=2,J17=2,F15&gt;D17),1)+IF(AND(J15=2,J18=2,G15&gt;D18),1)+IF(AND(J15=3,J14=3,C15&gt;D14),1)+IF(AND(J15=3,J16=3,E15&gt;D16),1)+IF(AND(J15=3,J17=3,F15&gt;D17),1)+IF(AND(J15=3,J18=3,G15&gt;D18),1)</f>
        <v>0</v>
      </c>
      <c r="L15" s="1305">
        <f>IF(AND(J15=1,J14=1),C15-D14)+IF(AND(J15=1,J16=1),E15-D16)+IF(AND(J15=1,J17=1),F15-D17)+IF(AND(J15=1,J18=1),G15-D18)+IF(AND(J15=2,J14=2),C15-D14)+IF(AND(J15=2,J16=2),E15-D16)+IF(AND(J15=2,J17=2),F15-D17)+IF(AND(J15=2,J18=2),G15-D18)+IF(AND(J15=3,J14=3),C15-D14)+IF(AND(J15=3,J16=3),E15-D16)+IF(AND(J15=3,J17=3),F15-D17)+IF(AND(J15=3,J18=3),G15-D18)</f>
        <v>0</v>
      </c>
      <c r="M15" s="515">
        <f t="shared" ref="M15:M18" si="3">10000*J15+K15*100+L15</f>
        <v>20000</v>
      </c>
      <c r="N15" s="668"/>
    </row>
    <row r="16" spans="1:14" s="498" customFormat="1" x14ac:dyDescent="0.2">
      <c r="A16" s="500">
        <v>3</v>
      </c>
      <c r="B16" s="518" t="s">
        <v>441</v>
      </c>
      <c r="C16" s="510">
        <v>6</v>
      </c>
      <c r="D16" s="520">
        <v>9</v>
      </c>
      <c r="E16" s="509"/>
      <c r="F16" s="510">
        <v>13</v>
      </c>
      <c r="G16" s="510"/>
      <c r="H16" s="511" t="str">
        <f>(IF(C16-E14&gt;0,1)+IF(D16-E15&gt;0,1)+IF(F16-E17&gt;0,1)+IF(G16-E18&gt;0,1))&amp;"-"&amp;(IF(C16-E14&lt;0,1)+IF(D16-E15&lt;0,1)+IF(F16-E17&lt;0,1)+IF(G16-E18&lt;0,1))</f>
        <v>1-2</v>
      </c>
      <c r="I16" s="510" t="str">
        <f>IF(AND(B16&lt;&gt;"",M$13=TRUE),A$13&amp;RANK(M16,M$14:M$18,0),"")</f>
        <v>B3</v>
      </c>
      <c r="J16" s="512">
        <f t="shared" si="2"/>
        <v>1</v>
      </c>
      <c r="K16" s="639">
        <f>IF(AND(J16=1,J14=1,C16&gt;E14),1)+IF(AND(J16=1,J15=1,D16&gt;E15),1)+IF(AND(J16=1,J17=1,F16&gt;E17),1)+IF(AND(J16=1,J18=1,G16&gt;E18),1)+IF(AND(J16=2,J14=2,C16&gt;E14),1)+IF(AND(J16=2,J15=2,D16&gt;E15),1)+IF(AND(J16=2,J17=2,F16&gt;E17),1)+IF(AND(J16=2,J18=2,G16&gt;E18),1)+IF(AND(J16=3,J14=3,C16&gt;E14),1)+IF(AND(J16=3,J15=3,D16&gt;E15),1)+IF(AND(J16=3,J17=3,F16&gt;E17),1)+IF(AND(J16=3,J18=3,G16&gt;E18),1)</f>
        <v>0</v>
      </c>
      <c r="L16" s="1305">
        <f>IF(AND(J16=1,J14=1),C16-E14)+IF(AND(J16=1,J15=1),D16-E15)+IF(AND(J16=1,J17=1),F16-E17)+IF(AND(J16=1,J18=1),G16-E18)+IF(AND(J16=2,J14=2),C16-E14)+IF(AND(J16=2,J15=2),D16-E15)+IF(AND(J16=2,J17=2),F16-E17)+IF(AND(J16=2,J18=2),G16-E18)+IF(AND(J16=3,J14=3),C16-E14)+IF(AND(J16=3,J15=3),D16-E15)+IF(AND(J16=3,J17=3),F16-E17)+IF(AND(J16=3,J18=3),G16-E18)</f>
        <v>0</v>
      </c>
      <c r="M16" s="515">
        <f t="shared" si="3"/>
        <v>10000</v>
      </c>
      <c r="N16" s="668"/>
    </row>
    <row r="17" spans="1:14" s="498" customFormat="1" x14ac:dyDescent="0.2">
      <c r="A17" s="500">
        <v>4</v>
      </c>
      <c r="B17" s="521" t="s">
        <v>573</v>
      </c>
      <c r="C17" s="510">
        <v>1</v>
      </c>
      <c r="D17" s="520">
        <v>6</v>
      </c>
      <c r="E17" s="510">
        <v>5</v>
      </c>
      <c r="F17" s="509"/>
      <c r="G17" s="522"/>
      <c r="H17" s="511" t="str">
        <f>(IF(C17-F14&gt;0,1)+IF(D17-F15&gt;0,1)+IF(E17-F16&gt;0,1)+IF(G17-F18&gt;0,1))&amp;"-"&amp;(IF(C17-F14&lt;0,1)+IF(D17-F15&lt;0,1)+IF(E17-F16&lt;0,1)+IF(G17-F18&lt;0,1))</f>
        <v>0-3</v>
      </c>
      <c r="I17" s="510" t="str">
        <f>IF(AND(B17&lt;&gt;"",M$13=TRUE),A$13&amp;RANK(M17,M$14:M$18,0),"")</f>
        <v>B4</v>
      </c>
      <c r="J17" s="512">
        <f t="shared" si="2"/>
        <v>0</v>
      </c>
      <c r="K17" s="639">
        <f>IF(AND(J17=1,J14=1,C17&gt;F14),1)+IF(AND(J17=1,J15=1,D17&gt;F15),1)+IF(AND(J17=1,J16=1,E17&gt;F16),1)+IF(AND(J17=1,J18=1,G17&gt;F18),1)+IF(AND(J17=2,J14=2,C17&gt;F14),1)+IF(AND(J17=2,J15=2,D17&gt;F15),1)+IF(AND(J17=2,J16=2,E17&gt;F16),1)+IF(AND(J17=2,J18=2,G17&gt;F18),1)+IF(AND(J17=3,J14=3,C17&gt;F14),1)+IF(AND(J17=3,J15=3,D17&gt;F15),1)+IF(AND(J17=3,J16=3,E17&gt;F16),1)+IF(AND(J17=3,J18=3,G17&gt;F18),1)</f>
        <v>0</v>
      </c>
      <c r="L17" s="1305">
        <f>IF(AND(J17=1,J14=1),C17-F14)+IF(AND(J17=1,J15=1),D17-F15)+IF(AND(J17=1,J16=1),E17-F16)+IF(AND(J17=1,J18=1),G17-F18)+IF(AND(J17=2,J14=2),C17-F14)+IF(AND(J17=2,J15=2),D17-F15)+IF(AND(J17=2,J16=2),E17-F16)+IF(AND(J17=2,J18=2),G17-F18)+IF(AND(J17=3,J14=3),C17-F14)+IF(AND(J17=3,J15=3),D17-F15)+IF(AND(J17=3,J16=3),E17-F16)+IF(AND(J17=3,J18=3),G17-F18)</f>
        <v>0</v>
      </c>
      <c r="M17" s="515">
        <f t="shared" si="3"/>
        <v>0</v>
      </c>
      <c r="N17" s="668"/>
    </row>
    <row r="18" spans="1:14" s="498" customFormat="1" hidden="1" x14ac:dyDescent="0.2">
      <c r="A18" s="500">
        <v>5</v>
      </c>
      <c r="B18" s="521"/>
      <c r="C18" s="510"/>
      <c r="D18" s="510"/>
      <c r="E18" s="510"/>
      <c r="F18" s="510"/>
      <c r="G18" s="509"/>
      <c r="H18" s="511" t="str">
        <f>(IF(C18-G14&gt;0,1)+IF(D18-G15&gt;0,1)+IF(E18-G16&gt;0,1)+IF(F18-G17&gt;0,1))&amp;"-"&amp;(IF(C18-G14&lt;0,1)+IF(D18-G15&lt;0,1)+IF(E18-G16&lt;0,1)+IF(F18-G17&lt;0,1))</f>
        <v>0-0</v>
      </c>
      <c r="I18" s="510" t="str">
        <f>IF(AND(B18&lt;&gt;"",M$13=TRUE),A$13&amp;RANK(M18,M$14:M$18,0),"")</f>
        <v/>
      </c>
      <c r="J18" s="512">
        <f t="shared" si="2"/>
        <v>0</v>
      </c>
      <c r="K18" s="639">
        <f>IF(AND(J18=1,J14=1,C18&gt;G14),1)+IF(AND(J18=1,J15=1,D18&gt;G15),1)+IF(AND(J18=1,J16=1,E18&gt;G16),1)+IF(AND(J18=1,J17=1,F18&gt;G17),1)+IF(AND(J18=2,J14=2,C18&gt;G14),1)+IF(AND(J18=2,J15=2,D18&gt;G15),1)+IF(AND(J18=2,J16=2,E18&gt;G16),1)+IF(AND(J18=2,J17=2,F18&gt;G17),1)+IF(AND(J18=3,J14=3,C18&gt;G14),1)+IF(AND(J18=3,J15=3,D18&gt;G15),1)+IF(AND(J18=3,J16=3,E18&gt;G16),1)+IF(AND(J18=3,J17=3,F18&gt;G17),1)</f>
        <v>0</v>
      </c>
      <c r="L18" s="1305">
        <f>IF(AND(J18=1,J14=1),C18-G14)+IF(AND(J18=1,J15=1),D18-G15)+IF(AND(J18=1,J16=1),E18-G16)+IF(AND(J18=1,J17=1),F18-G17)+IF(AND(J18=2,J14=2),C18-G14)+IF(AND(J18=2,J15=2),D18-G15)+IF(AND(J18=2,J16=2),E18-G16)+IF(AND(J18=2,J17=2),F18-G17)+IF(AND(J18=3,J14=3),C18-G14)+IF(AND(J18=3,J15=3),D18-G15)+IF(AND(J18=3,J16=3),E18-G16)+IF(AND(J18=3,J17=3),F18-G17)</f>
        <v>0</v>
      </c>
      <c r="M18" s="515">
        <f t="shared" si="3"/>
        <v>0</v>
      </c>
      <c r="N18" s="668"/>
    </row>
    <row r="19" spans="1:14" s="506" customFormat="1" x14ac:dyDescent="0.2">
      <c r="A19" s="523"/>
      <c r="B19" s="524"/>
      <c r="C19" s="525"/>
      <c r="D19" s="526"/>
      <c r="E19" s="525"/>
      <c r="F19" s="527"/>
      <c r="H19" s="528"/>
      <c r="I19" s="529"/>
      <c r="J19" s="496"/>
      <c r="K19" s="537"/>
      <c r="L19" s="531"/>
      <c r="M19" s="496"/>
      <c r="N19" s="668"/>
    </row>
    <row r="20" spans="1:14" s="498" customFormat="1" x14ac:dyDescent="0.2">
      <c r="A20" s="500" t="s">
        <v>142</v>
      </c>
      <c r="B20" s="501"/>
      <c r="C20" s="502">
        <v>1</v>
      </c>
      <c r="D20" s="502">
        <v>2</v>
      </c>
      <c r="E20" s="502">
        <v>3</v>
      </c>
      <c r="F20" s="502">
        <v>4</v>
      </c>
      <c r="G20" s="502"/>
      <c r="H20" s="501" t="s">
        <v>363</v>
      </c>
      <c r="I20" s="501" t="s">
        <v>26</v>
      </c>
      <c r="J20" s="533" t="s">
        <v>156</v>
      </c>
      <c r="K20" s="504" t="s">
        <v>156</v>
      </c>
      <c r="L20" s="534" t="s">
        <v>364</v>
      </c>
      <c r="M20" s="535" t="b">
        <f>OR(AND(COUNTA(B21:B25)=3,COUNTA(C21:G25)=6),AND(COUNTA(B21:B25)=4,COUNTA(C21:G25)=12),AND(COUNTA(B21:B25)=5,COUNTA(C21:G25)=20))</f>
        <v>1</v>
      </c>
      <c r="N20" s="668"/>
    </row>
    <row r="21" spans="1:14" s="498" customFormat="1" x14ac:dyDescent="0.2">
      <c r="A21" s="500">
        <v>1</v>
      </c>
      <c r="B21" s="508" t="s">
        <v>440</v>
      </c>
      <c r="C21" s="509"/>
      <c r="D21" s="510">
        <v>7</v>
      </c>
      <c r="E21" s="510">
        <v>6</v>
      </c>
      <c r="F21" s="510">
        <v>13</v>
      </c>
      <c r="G21" s="510"/>
      <c r="H21" s="511" t="str">
        <f>(IF(D21-C22&gt;0,1)+IF(E21-C23&gt;0,1)+IF(F21-C24&gt;0,1)+IF(G21-C25&gt;0,1))&amp;"-"&amp;(IF(D21-C22&lt;0,1)+IF(E21-C23&lt;0,1)+IF(F21-C24&lt;0,1)+IF(G21-C25&lt;0,1))</f>
        <v>1-2</v>
      </c>
      <c r="I21" s="510" t="str">
        <f>IF(AND(B21&lt;&gt;"",M$20=TRUE),A$20&amp;RANK(M21,M$21:M$25,0),"")</f>
        <v>C3</v>
      </c>
      <c r="J21" s="512">
        <f>VALUE(LEFT(H21,1))</f>
        <v>1</v>
      </c>
      <c r="K21" s="513">
        <f>IF(AND(J21=1,J22=1,D21&gt;C22),1)+IF(AND(J21=1,J23=1,E21&gt;C23),1)+IF(AND(J21=1,J24=1,F21&gt;C24),1)+IF(AND(J21=1,J25=1,G21&gt;C25),1)+IF(AND(J21=2,J22=2,D21&gt;C22),1)+IF(AND(J21=2,J23=2,E21&gt;C23),1)+IF(AND(J21=2,J24=2,F21&gt;C24),1)+IF(AND(J21=2,J25=2,G21&gt;C25),1)+IF(AND(J21=3,J22=3,D21&gt;C22),1)+IF(AND(J21=3,J23=3,E21&gt;C23),1)+IF(AND(J21=3,J24=3,F21&gt;C24),1)+IF(AND(J21=3,J25=3,G21&gt;C25),1)</f>
        <v>0</v>
      </c>
      <c r="L21" s="1305">
        <f>IF(AND(J21=1,J22=1),D21-C22)+IF(AND(J21=1,J23=1),E21-C23)+IF(AND(J21=1,J24=1),F21-C24)+IF(AND(J21=1,J25=1),G21-C25)+IF(AND(J21=2,J22=2),D21-C22)+IF(AND(J21=2,J23=2),E21-C23)+IF(AND(J21=2,J24=2),F21-C24)+IF(AND(J21=2,J25=2),G21-C25)+IF(AND(J21=3,J22=3),D21-C22)+IF(AND(J21=3,J23=3),E21-C23)+IF(AND(J21=3,J24=3),F21-C24)+IF(AND(J21=3,J25=3),G21-C25)</f>
        <v>0</v>
      </c>
      <c r="M21" s="515">
        <f>10000*J21+K21*100+L21</f>
        <v>10000</v>
      </c>
      <c r="N21" s="668"/>
    </row>
    <row r="22" spans="1:14" s="498" customFormat="1" x14ac:dyDescent="0.2">
      <c r="A22" s="500">
        <v>2</v>
      </c>
      <c r="B22" s="518" t="s">
        <v>580</v>
      </c>
      <c r="C22" s="510">
        <v>11</v>
      </c>
      <c r="D22" s="509"/>
      <c r="E22" s="510">
        <v>13</v>
      </c>
      <c r="F22" s="510">
        <v>13</v>
      </c>
      <c r="G22" s="510"/>
      <c r="H22" s="511" t="str">
        <f>(IF(C22-D21&gt;0,1)+IF(E22-D23&gt;0,1)+IF(F22-D24&gt;0,1)+IF(G22-D25&gt;0,1))&amp;"-"&amp;(IF(C22-D21&lt;0,1)+IF(E22-D23&lt;0,1)+IF(F22-D24&lt;0,1)+IF(G22-D25&lt;0,1))</f>
        <v>3-0</v>
      </c>
      <c r="I22" s="510" t="str">
        <f>IF(AND(B22&lt;&gt;"",M$20=TRUE),A$20&amp;RANK(M22,M$21:M$25,0),"")</f>
        <v>C1</v>
      </c>
      <c r="J22" s="512">
        <f t="shared" ref="J22:J25" si="4">VALUE(LEFT(H22,1))</f>
        <v>3</v>
      </c>
      <c r="K22" s="639">
        <f>IF(AND(J22=1,J21=1,C22&gt;D21),1)+IF(AND(J22=1,J23=1,E22&gt;D23),1)+IF(AND(J22=1,J24=1,F22&gt;D24),1)+IF(AND(J22=1,J25=1,G22&gt;D25),1)+IF(AND(J22=2,J21=2,C22&gt;D21),1)+IF(AND(J22=2,J23=2,E22&gt;D23),1)+IF(AND(J22=2,J24=2,F22&gt;D24),1)+IF(AND(J22=2,J25=2,G22&gt;D25),1)+IF(AND(J22=3,J21=3,C22&gt;D21),1)+IF(AND(J22=3,J23=3,E22&gt;D23),1)+IF(AND(J22=3,J24=3,F22&gt;D24),1)+IF(AND(J22=3,J25=3,G22&gt;D25),1)</f>
        <v>0</v>
      </c>
      <c r="L22" s="1305">
        <f>IF(AND(J22=1,J21=1),C22-D21)+IF(AND(J22=1,J23=1),E22-D23)+IF(AND(J22=1,J24=1),F22-D24)+IF(AND(J22=1,J25=1),G22-D25)+IF(AND(J22=2,J21=2),C22-D21)+IF(AND(J22=2,J23=2),E22-D23)+IF(AND(J22=2,J24=2),F22-D24)+IF(AND(J22=2,J25=2),G22-D25)+IF(AND(J22=3,J21=3),C22-D21)+IF(AND(J22=3,J23=3),E22-D23)+IF(AND(J22=3,J24=3),F22-D24)+IF(AND(J22=3,J25=3),G22-D25)</f>
        <v>0</v>
      </c>
      <c r="M22" s="515">
        <f t="shared" ref="M22:M25" si="5">10000*J22+K22*100+L22</f>
        <v>30000</v>
      </c>
      <c r="N22" s="668"/>
    </row>
    <row r="23" spans="1:14" s="498" customFormat="1" x14ac:dyDescent="0.2">
      <c r="A23" s="500">
        <v>3</v>
      </c>
      <c r="B23" s="518" t="s">
        <v>579</v>
      </c>
      <c r="C23" s="510">
        <v>13</v>
      </c>
      <c r="D23" s="520">
        <v>10</v>
      </c>
      <c r="E23" s="509"/>
      <c r="F23" s="510">
        <v>13</v>
      </c>
      <c r="G23" s="510"/>
      <c r="H23" s="511" t="str">
        <f>(IF(C23-E21&gt;0,1)+IF(D23-E22&gt;0,1)+IF(F23-E24&gt;0,1)+IF(G23-E25&gt;0,1))&amp;"-"&amp;(IF(C23-E21&lt;0,1)+IF(D23-E22&lt;0,1)+IF(F23-E24&lt;0,1)+IF(G23-E25&lt;0,1))</f>
        <v>2-1</v>
      </c>
      <c r="I23" s="510" t="str">
        <f>IF(AND(B23&lt;&gt;"",M$20=TRUE),A$20&amp;RANK(M23,M$21:M$25,0),"")</f>
        <v>C2</v>
      </c>
      <c r="J23" s="512">
        <f t="shared" si="4"/>
        <v>2</v>
      </c>
      <c r="K23" s="639">
        <f>IF(AND(J23=1,J21=1,C23&gt;E21),1)+IF(AND(J23=1,J22=1,D23&gt;E22),1)+IF(AND(J23=1,J24=1,F23&gt;E24),1)+IF(AND(J23=1,J25=1,G23&gt;E25),1)+IF(AND(J23=2,J21=2,C23&gt;E21),1)+IF(AND(J23=2,J22=2,D23&gt;E22),1)+IF(AND(J23=2,J24=2,F23&gt;E24),1)+IF(AND(J23=2,J25=2,G23&gt;E25),1)+IF(AND(J23=3,J21=3,C23&gt;E21),1)+IF(AND(J23=3,J22=3,D23&gt;E22),1)+IF(AND(J23=3,J24=3,F23&gt;E24),1)+IF(AND(J23=3,J25=3,G23&gt;E25),1)</f>
        <v>0</v>
      </c>
      <c r="L23" s="1305">
        <f>IF(AND(J23=1,J21=1),C23-E21)+IF(AND(J23=1,J22=1),D23-E22)+IF(AND(J23=1,J24=1),F23-E24)+IF(AND(J23=1,J25=1),G23-E25)+IF(AND(J23=2,J21=2),C23-E21)+IF(AND(J23=2,J22=2),D23-E22)+IF(AND(J23=2,J24=2),F23-E24)+IF(AND(J23=2,J25=2),G23-E25)+IF(AND(J23=3,J21=3),C23-E21)+IF(AND(J23=3,J22=3),D23-E22)+IF(AND(J23=3,J24=3),F23-E24)+IF(AND(J23=3,J25=3),G23-E25)</f>
        <v>0</v>
      </c>
      <c r="M23" s="515">
        <f t="shared" si="5"/>
        <v>20000</v>
      </c>
      <c r="N23" s="668"/>
    </row>
    <row r="24" spans="1:14" s="498" customFormat="1" x14ac:dyDescent="0.2">
      <c r="A24" s="500">
        <v>4</v>
      </c>
      <c r="B24" s="518" t="s">
        <v>761</v>
      </c>
      <c r="C24" s="510">
        <v>8</v>
      </c>
      <c r="D24" s="520">
        <v>5</v>
      </c>
      <c r="E24" s="510">
        <v>2</v>
      </c>
      <c r="F24" s="509"/>
      <c r="G24" s="522"/>
      <c r="H24" s="511" t="str">
        <f>(IF(C24-F21&gt;0,1)+IF(D24-F22&gt;0,1)+IF(E24-F23&gt;0,1)+IF(G24-F25&gt;0,1))&amp;"-"&amp;(IF(C24-F21&lt;0,1)+IF(D24-F22&lt;0,1)+IF(E24-F23&lt;0,1)+IF(G24-F25&lt;0,1))</f>
        <v>0-3</v>
      </c>
      <c r="I24" s="510" t="str">
        <f>IF(AND(B24&lt;&gt;"",M$20=TRUE),A$20&amp;RANK(M24,M$21:M$25,0),"")</f>
        <v>C4</v>
      </c>
      <c r="J24" s="512">
        <f t="shared" si="4"/>
        <v>0</v>
      </c>
      <c r="K24" s="639">
        <f>IF(AND(J24=1,J21=1,C24&gt;F21),1)+IF(AND(J24=1,J22=1,D24&gt;F22),1)+IF(AND(J24=1,J23=1,E24&gt;F23),1)+IF(AND(J24=1,J25=1,G24&gt;F25),1)+IF(AND(J24=2,J21=2,C24&gt;F21),1)+IF(AND(J24=2,J22=2,D24&gt;F22),1)+IF(AND(J24=2,J23=2,E24&gt;F23),1)+IF(AND(J24=2,J25=2,G24&gt;F25),1)+IF(AND(J24=3,J21=3,C24&gt;F21),1)+IF(AND(J24=3,J22=3,D24&gt;F22),1)+IF(AND(J24=3,J23=3,E24&gt;F23),1)+IF(AND(J24=3,J25=3,G24&gt;F25),1)</f>
        <v>0</v>
      </c>
      <c r="L24" s="1305">
        <f>IF(AND(J24=1,J21=1),C24-F21)+IF(AND(J24=1,J22=1),D24-F22)+IF(AND(J24=1,J23=1),E24-F23)+IF(AND(J24=1,J25=1),G24-F25)+IF(AND(J24=2,J21=2),C24-F21)+IF(AND(J24=2,J22=2),D24-F22)+IF(AND(J24=2,J23=2),E24-F23)+IF(AND(J24=2,J25=2),G24-F25)+IF(AND(J24=3,J21=3),C24-F21)+IF(AND(J24=3,J22=3),D24-F22)+IF(AND(J24=3,J23=3),E24-F23)+IF(AND(J24=3,J25=3),G24-F25)</f>
        <v>0</v>
      </c>
      <c r="M24" s="515">
        <f t="shared" si="5"/>
        <v>0</v>
      </c>
      <c r="N24" s="668"/>
    </row>
    <row r="25" spans="1:14" s="498" customFormat="1" hidden="1" x14ac:dyDescent="0.2">
      <c r="A25" s="500">
        <v>5</v>
      </c>
      <c r="B25" s="521"/>
      <c r="C25" s="510"/>
      <c r="D25" s="510"/>
      <c r="E25" s="510"/>
      <c r="F25" s="510"/>
      <c r="G25" s="509"/>
      <c r="H25" s="511" t="str">
        <f>(IF(C25-G21&gt;0,1)+IF(D25-G22&gt;0,1)+IF(E25-G23&gt;0,1)+IF(F25-G24&gt;0,1))&amp;"-"&amp;(IF(C25-G21&lt;0,1)+IF(D25-G22&lt;0,1)+IF(E25-G23&lt;0,1)+IF(F25-G24&lt;0,1))</f>
        <v>0-0</v>
      </c>
      <c r="I25" s="510" t="str">
        <f>IF(AND(B25&lt;&gt;"",M$20=TRUE),A$20&amp;RANK(M25,M$21:M$25,0),"")</f>
        <v/>
      </c>
      <c r="J25" s="512">
        <f t="shared" si="4"/>
        <v>0</v>
      </c>
      <c r="K25" s="639">
        <f>IF(AND(J25=1,J21=1,C25&gt;G21),1)+IF(AND(J25=1,J22=1,D25&gt;G22),1)+IF(AND(J25=1,J23=1,E25&gt;G23),1)+IF(AND(J25=1,J24=1,F25&gt;G24),1)+IF(AND(J25=2,J21=2,C25&gt;G21),1)+IF(AND(J25=2,J22=2,D25&gt;G22),1)+IF(AND(J25=2,J23=2,E25&gt;G23),1)+IF(AND(J25=2,J24=2,F25&gt;G24),1)+IF(AND(J25=3,J21=3,C25&gt;G21),1)+IF(AND(J25=3,J22=3,D25&gt;G22),1)+IF(AND(J25=3,J23=3,E25&gt;G23),1)+IF(AND(J25=3,J24=3,F25&gt;G24),1)</f>
        <v>0</v>
      </c>
      <c r="L25" s="514">
        <f>IF(AND(J25=1,J21=1),C25-G21)+IF(AND(J25=1,J22=1),D25-G22)+IF(AND(J25=1,J23=1),E25-G23)+IF(AND(J25=1,J24=1),F25-G24)+IF(AND(J25=2,J21=2),C25-G21)+IF(AND(J25=2,J22=2),D25-G22)+IF(AND(J25=2,J23=2),E25-G23)+IF(AND(J25=2,J24=2),F25-G24)+IF(AND(J25=3,J21=3),C25-G21)+IF(AND(J25=3,J22=3),D25-G22)+IF(AND(J25=3,J23=3),E25-G23)+IF(AND(J25=3,J24=3),F25-G24)</f>
        <v>0</v>
      </c>
      <c r="M25" s="515">
        <f t="shared" si="5"/>
        <v>0</v>
      </c>
      <c r="N25" s="668"/>
    </row>
    <row r="26" spans="1:14" s="498" customFormat="1" hidden="1" x14ac:dyDescent="0.2">
      <c r="A26" s="538"/>
      <c r="B26" s="539"/>
      <c r="C26" s="540"/>
      <c r="D26" s="540"/>
      <c r="E26" s="540"/>
      <c r="F26" s="641"/>
      <c r="G26" s="641"/>
      <c r="H26" s="541"/>
      <c r="I26" s="542"/>
      <c r="J26" s="642"/>
      <c r="K26" s="530"/>
      <c r="L26" s="643"/>
      <c r="M26" s="642"/>
      <c r="N26" s="668"/>
    </row>
    <row r="27" spans="1:14" s="506" customFormat="1" hidden="1" x14ac:dyDescent="0.2">
      <c r="A27" s="500" t="s">
        <v>143</v>
      </c>
      <c r="B27" s="501"/>
      <c r="C27" s="502">
        <v>1</v>
      </c>
      <c r="D27" s="502">
        <v>2</v>
      </c>
      <c r="E27" s="502">
        <v>3</v>
      </c>
      <c r="F27" s="502">
        <v>4</v>
      </c>
      <c r="G27" s="502">
        <v>5</v>
      </c>
      <c r="H27" s="501" t="s">
        <v>363</v>
      </c>
      <c r="I27" s="501" t="s">
        <v>26</v>
      </c>
      <c r="J27" s="533" t="s">
        <v>156</v>
      </c>
      <c r="K27" s="504" t="s">
        <v>156</v>
      </c>
      <c r="L27" s="534" t="s">
        <v>364</v>
      </c>
      <c r="M27" s="535" t="b">
        <f>OR(AND(COUNTA(B28:B32)=3,COUNTA(C28:G32)=6),AND(COUNTA(B28:B32)=4,COUNTA(C28:G32)=12),AND(COUNTA(B28:B32)=5,COUNTA(C28:G32)=20))</f>
        <v>0</v>
      </c>
      <c r="N27" s="668"/>
    </row>
    <row r="28" spans="1:14" s="506" customFormat="1" hidden="1" x14ac:dyDescent="0.2">
      <c r="A28" s="500">
        <v>1</v>
      </c>
      <c r="B28" s="508"/>
      <c r="C28" s="509"/>
      <c r="D28" s="510"/>
      <c r="E28" s="510"/>
      <c r="F28" s="510"/>
      <c r="G28" s="510"/>
      <c r="H28" s="511" t="str">
        <f>(IF(D28-C29&gt;0,1)+IF(E28-C30&gt;0,1)+IF(F28-C31&gt;0,1)+IF(G28-C32&gt;0,1))&amp;"-"&amp;(IF(D28-C29&lt;0,1)+IF(E28-C30&lt;0,1)+IF(F28-C31&lt;0,1)+IF(G28-C32&lt;0,1))</f>
        <v>0-0</v>
      </c>
      <c r="I28" s="510" t="str">
        <f>IF(AND(B28&lt;&gt;"",M$27=TRUE),A$27&amp;RANK(M28,M$28:M$32,0),"")</f>
        <v/>
      </c>
      <c r="J28" s="512">
        <f>VALUE(LEFT(H28,1))</f>
        <v>0</v>
      </c>
      <c r="K28" s="513">
        <f>IF(AND(J28=1,J29=1,D28&gt;C29),1)+IF(AND(J28=1,J30=1,E28&gt;C30),1)+IF(AND(J28=1,J31=1,F28&gt;C31),1)+IF(AND(J28=1,J32=1,G28&gt;C32),1)+IF(AND(J28=2,J29=2,D28&gt;C29),1)+IF(AND(J28=2,J30=2,E28&gt;C30),1)+IF(AND(J28=2,J31=2,F28&gt;C31),1)+IF(AND(J28=2,J32=2,G28&gt;C32),1)+IF(AND(J28=3,J29=3,D28&gt;C29),1)+IF(AND(J28=3,J30=3,E28&gt;C30),1)+IF(AND(J28=3,J31=3,F28&gt;C31),1)+IF(AND(J28=3,J32=3,G28&gt;C32),1)</f>
        <v>0</v>
      </c>
      <c r="L28" s="1305">
        <f>IF(AND(J28=1,J29=1),D28-C29)+IF(AND(J28=1,J30=1),E28-C30)+IF(AND(J28=1,J31=1),F28-C31)+IF(AND(J28=1,J32=1),G28-C32)+IF(AND(J28=2,J29=2),D28-C29)+IF(AND(J28=2,J30=2),E28-C30)+IF(AND(J28=2,J31=2),F28-C31)+IF(AND(J28=2,J32=2),G28-C32)+IF(AND(J28=3,J29=3),D28-C29)+IF(AND(J28=3,J30=3),E28-C30)+IF(AND(J28=3,J31=3),F28-C31)+IF(AND(J28=3,J32=3),G28-C32)</f>
        <v>0</v>
      </c>
      <c r="M28" s="515">
        <f>10000*J28+K28*100+L28</f>
        <v>0</v>
      </c>
      <c r="N28" s="668"/>
    </row>
    <row r="29" spans="1:14" s="506" customFormat="1" hidden="1" x14ac:dyDescent="0.2">
      <c r="A29" s="500">
        <v>2</v>
      </c>
      <c r="B29" s="518"/>
      <c r="C29" s="510"/>
      <c r="D29" s="509"/>
      <c r="E29" s="510"/>
      <c r="F29" s="510"/>
      <c r="G29" s="510"/>
      <c r="H29" s="511" t="str">
        <f>(IF(C29-D28&gt;0,1)+IF(E29-D30&gt;0,1)+IF(F29-D31&gt;0,1)+IF(G29-D32&gt;0,1))&amp;"-"&amp;(IF(C29-D28&lt;0,1)+IF(E29-D30&lt;0,1)+IF(F29-D31&lt;0,1)+IF(G29-D32&lt;0,1))</f>
        <v>0-0</v>
      </c>
      <c r="I29" s="510" t="str">
        <f>IF(AND(B29&lt;&gt;"",M$27=TRUE),A$27&amp;RANK(M29,M$28:M$32,0),"")</f>
        <v/>
      </c>
      <c r="J29" s="512">
        <f t="shared" ref="J29:J32" si="6">VALUE(LEFT(H29,1))</f>
        <v>0</v>
      </c>
      <c r="K29" s="639">
        <f>IF(AND(J29=1,J28=1,C29&gt;D28),1)+IF(AND(J29=1,J30=1,E29&gt;D30),1)+IF(AND(J29=1,J31=1,F29&gt;D31),1)+IF(AND(J29=1,J32=1,G29&gt;D32),1)+IF(AND(J29=2,J28=2,C29&gt;D28),1)+IF(AND(J29=2,J30=2,E29&gt;D30),1)+IF(AND(J29=2,J31=2,F29&gt;D31),1)+IF(AND(J29=2,J32=2,G29&gt;D32),1)+IF(AND(J29=3,J28=3,C29&gt;D28),1)+IF(AND(J29=3,J30=3,E29&gt;D30),1)+IF(AND(J29=3,J31=3,F29&gt;D31),1)+IF(AND(J29=3,J32=3,G29&gt;D32),1)</f>
        <v>0</v>
      </c>
      <c r="L29" s="1305">
        <f>IF(AND(J29=1,J28=1),C29-D28)+IF(AND(J29=1,J30=1),E29-D30)+IF(AND(J29=1,J31=1),F29-D31)+IF(AND(J29=1,J32=1),G29-D32)+IF(AND(J29=2,J28=2),C29-D28)+IF(AND(J29=2,J30=2),E29-D30)+IF(AND(J29=2,J31=2),F29-D31)+IF(AND(J29=2,J32=2),G29-D32)+IF(AND(J29=3,J28=3),C29-D28)+IF(AND(J29=3,J30=3),E29-D30)+IF(AND(J29=3,J31=3),F29-D31)+IF(AND(J29=3,J32=3),G29-D32)</f>
        <v>0</v>
      </c>
      <c r="M29" s="515">
        <f t="shared" ref="M29:M32" si="7">10000*J29+K29*100+L29</f>
        <v>0</v>
      </c>
      <c r="N29" s="668"/>
    </row>
    <row r="30" spans="1:14" s="506" customFormat="1" hidden="1" x14ac:dyDescent="0.2">
      <c r="A30" s="500">
        <v>3</v>
      </c>
      <c r="B30" s="518"/>
      <c r="C30" s="510"/>
      <c r="D30" s="520"/>
      <c r="E30" s="509"/>
      <c r="F30" s="510"/>
      <c r="G30" s="510"/>
      <c r="H30" s="511" t="str">
        <f>(IF(C30-E28&gt;0,1)+IF(D30-E29&gt;0,1)+IF(F30-E31&gt;0,1)+IF(G30-E32&gt;0,1))&amp;"-"&amp;(IF(C30-E28&lt;0,1)+IF(D30-E29&lt;0,1)+IF(F30-E31&lt;0,1)+IF(G30-E32&lt;0,1))</f>
        <v>0-0</v>
      </c>
      <c r="I30" s="510" t="str">
        <f>IF(AND(B30&lt;&gt;"",M$27=TRUE),A$27&amp;RANK(M30,M$28:M$32,0),"")</f>
        <v/>
      </c>
      <c r="J30" s="512">
        <f t="shared" si="6"/>
        <v>0</v>
      </c>
      <c r="K30" s="639">
        <f>IF(AND(J30=1,J28=1,C30&gt;E28),1)+IF(AND(J30=1,J29=1,D30&gt;E29),1)+IF(AND(J30=1,J31=1,F30&gt;E31),1)+IF(AND(J30=1,J32=1,G30&gt;E32),1)+IF(AND(J30=2,J28=2,C30&gt;E28),1)+IF(AND(J30=2,J29=2,D30&gt;E29),1)+IF(AND(J30=2,J31=2,F30&gt;E31),1)+IF(AND(J30=2,J32=2,G30&gt;E32),1)+IF(AND(J30=3,J28=3,C30&gt;E28),1)+IF(AND(J30=3,J29=3,D30&gt;E29),1)+IF(AND(J30=3,J31=3,F30&gt;E31),1)+IF(AND(J30=3,J32=3,G30&gt;E32),1)</f>
        <v>0</v>
      </c>
      <c r="L30" s="1305">
        <f>IF(AND(J30=1,J28=1),C30-E28)+IF(AND(J30=1,J29=1),D30-E29)+IF(AND(J30=1,J31=1),F30-E31)+IF(AND(J30=1,J32=1),G30-E32)+IF(AND(J30=2,J28=2),C30-E28)+IF(AND(J30=2,J29=2),D30-E29)+IF(AND(J30=2,J31=2),F30-E31)+IF(AND(J30=2,J32=2),G30-E32)+IF(AND(J30=3,J28=3),C30-E28)+IF(AND(J30=3,J29=3),D30-E29)+IF(AND(J30=3,J31=3),F30-E31)+IF(AND(J30=3,J32=3),G30-E32)</f>
        <v>0</v>
      </c>
      <c r="M30" s="515">
        <f t="shared" si="7"/>
        <v>0</v>
      </c>
      <c r="N30" s="668"/>
    </row>
    <row r="31" spans="1:14" s="506" customFormat="1" hidden="1" x14ac:dyDescent="0.2">
      <c r="A31" s="500">
        <v>4</v>
      </c>
      <c r="B31" s="521"/>
      <c r="C31" s="510"/>
      <c r="D31" s="520"/>
      <c r="E31" s="510"/>
      <c r="F31" s="509"/>
      <c r="G31" s="522"/>
      <c r="H31" s="511" t="str">
        <f>(IF(C31-F28&gt;0,1)+IF(D31-F29&gt;0,1)+IF(E31-F30&gt;0,1)+IF(G31-F32&gt;0,1))&amp;"-"&amp;(IF(C31-F28&lt;0,1)+IF(D31-F29&lt;0,1)+IF(E31-F30&lt;0,1)+IF(G31-F32&lt;0,1))</f>
        <v>0-0</v>
      </c>
      <c r="I31" s="510" t="str">
        <f>IF(AND(B31&lt;&gt;"",M$27=TRUE),A$27&amp;RANK(M31,M$28:M$32,0),"")</f>
        <v/>
      </c>
      <c r="J31" s="512">
        <f t="shared" si="6"/>
        <v>0</v>
      </c>
      <c r="K31" s="639">
        <f>IF(AND(J31=1,J28=1,C31&gt;F28),1)+IF(AND(J31=1,J29=1,D31&gt;F29),1)+IF(AND(J31=1,J30=1,E31&gt;F30),1)+IF(AND(J31=1,J32=1,G31&gt;F32),1)+IF(AND(J31=2,J28=2,C31&gt;F28),1)+IF(AND(J31=2,J29=2,D31&gt;F29),1)+IF(AND(J31=2,J30=2,E31&gt;F30),1)+IF(AND(J31=2,J32=2,G31&gt;F32),1)+IF(AND(J31=3,J28=3,C31&gt;F28),1)+IF(AND(J31=3,J29=3,D31&gt;F29),1)+IF(AND(J31=3,J30=3,E31&gt;F30),1)+IF(AND(J31=3,J32=3,G31&gt;F32),1)</f>
        <v>0</v>
      </c>
      <c r="L31" s="1305">
        <f>IF(AND(J31=1,J28=1),C31-F28)+IF(AND(J31=1,J29=1),D31-F29)+IF(AND(J31=1,J30=1),E31-F30)+IF(AND(J31=1,J32=1),G31-F32)+IF(AND(J31=2,J28=2),C31-F28)+IF(AND(J31=2,J29=2),D31-F29)+IF(AND(J31=2,J30=2),E31-F30)+IF(AND(J31=2,J32=2),G31-F32)+IF(AND(J31=3,J28=3),C31-F28)+IF(AND(J31=3,J29=3),D31-F29)+IF(AND(J31=3,J30=3),E31-F30)+IF(AND(J31=3,J32=3),G31-F32)</f>
        <v>0</v>
      </c>
      <c r="M31" s="515">
        <f t="shared" si="7"/>
        <v>0</v>
      </c>
      <c r="N31" s="668"/>
    </row>
    <row r="32" spans="1:14" s="506" customFormat="1" hidden="1" x14ac:dyDescent="0.2">
      <c r="A32" s="500">
        <v>5</v>
      </c>
      <c r="B32" s="521"/>
      <c r="C32" s="510"/>
      <c r="D32" s="510"/>
      <c r="E32" s="510"/>
      <c r="F32" s="510"/>
      <c r="G32" s="509"/>
      <c r="H32" s="511" t="str">
        <f>(IF(C32-G28&gt;0,1)+IF(D32-G29&gt;0,1)+IF(E32-G30&gt;0,1)+IF(F32-G31&gt;0,1))&amp;"-"&amp;(IF(C32-G28&lt;0,1)+IF(D32-G29&lt;0,1)+IF(E32-G30&lt;0,1)+IF(F32-G31&lt;0,1))</f>
        <v>0-0</v>
      </c>
      <c r="I32" s="510" t="str">
        <f>IF(AND(B32&lt;&gt;"",M$27=TRUE),A$27&amp;RANK(M32,M$28:M$32,0),"")</f>
        <v/>
      </c>
      <c r="J32" s="512">
        <f t="shared" si="6"/>
        <v>0</v>
      </c>
      <c r="K32" s="639">
        <f>IF(AND(J32=1,J28=1,C32&gt;G28),1)+IF(AND(J32=1,J29=1,D32&gt;G29),1)+IF(AND(J32=1,J30=1,E32&gt;G30),1)+IF(AND(J32=1,J31=1,F32&gt;G31),1)+IF(AND(J32=2,J28=2,C32&gt;G28),1)+IF(AND(J32=2,J29=2,D32&gt;G29),1)+IF(AND(J32=2,J30=2,E32&gt;G30),1)+IF(AND(J32=2,J31=2,F32&gt;G31),1)+IF(AND(J32=3,J28=3,C32&gt;G28),1)+IF(AND(J32=3,J29=3,D32&gt;G29),1)+IF(AND(J32=3,J30=3,E32&gt;G30),1)+IF(AND(J32=3,J31=3,F32&gt;G31),1)</f>
        <v>0</v>
      </c>
      <c r="L32" s="1305">
        <f>IF(AND(J32=1,J28=1),C32-G28)+IF(AND(J32=1,J29=1),D32-G29)+IF(AND(J32=1,J30=1),E32-G30)+IF(AND(J32=1,J31=1),F32-G31)+IF(AND(J32=2,J28=2),C32-G28)+IF(AND(J32=2,J29=2),D32-G29)+IF(AND(J32=2,J30=2),E32-G30)+IF(AND(J32=2,J31=2),F32-G31)+IF(AND(J32=3,J28=3),C32-G28)+IF(AND(J32=3,J29=3),D32-G29)+IF(AND(J32=3,J30=3),E32-G30)+IF(AND(J32=3,J31=3),F32-G31)</f>
        <v>0</v>
      </c>
      <c r="M32" s="515">
        <f t="shared" si="7"/>
        <v>0</v>
      </c>
      <c r="N32" s="668"/>
    </row>
    <row r="33" spans="1:14" s="506" customFormat="1" hidden="1" x14ac:dyDescent="0.2">
      <c r="A33" s="523"/>
      <c r="F33" s="545"/>
      <c r="H33" s="546"/>
      <c r="I33" s="547"/>
      <c r="J33" s="535"/>
      <c r="K33" s="542"/>
      <c r="L33" s="548"/>
      <c r="M33" s="535"/>
      <c r="N33" s="668"/>
    </row>
    <row r="34" spans="1:14" s="506" customFormat="1" hidden="1" x14ac:dyDescent="0.2">
      <c r="A34" s="500" t="s">
        <v>144</v>
      </c>
      <c r="B34" s="501"/>
      <c r="C34" s="502">
        <v>1</v>
      </c>
      <c r="D34" s="502">
        <v>2</v>
      </c>
      <c r="E34" s="502">
        <v>3</v>
      </c>
      <c r="F34" s="502">
        <v>4</v>
      </c>
      <c r="G34" s="502">
        <v>5</v>
      </c>
      <c r="H34" s="502" t="s">
        <v>363</v>
      </c>
      <c r="I34" s="501" t="s">
        <v>26</v>
      </c>
      <c r="J34" s="503" t="s">
        <v>156</v>
      </c>
      <c r="K34" s="504" t="s">
        <v>156</v>
      </c>
      <c r="L34" s="505" t="s">
        <v>364</v>
      </c>
      <c r="M34" s="506" t="b">
        <f>OR(AND(COUNTA(B35:B39)=3,COUNTA(C35:G39)=6),AND(COUNTA(B35:B39)=4,COUNTA(C35:G39)=12),AND(COUNTA(B35:B39)=5,COUNTA(C35:G39)=20))</f>
        <v>0</v>
      </c>
      <c r="N34" s="668"/>
    </row>
    <row r="35" spans="1:14" s="506" customFormat="1" hidden="1" x14ac:dyDescent="0.2">
      <c r="A35" s="500">
        <v>1</v>
      </c>
      <c r="B35" s="508"/>
      <c r="C35" s="509"/>
      <c r="D35" s="510"/>
      <c r="E35" s="510"/>
      <c r="F35" s="510"/>
      <c r="G35" s="510"/>
      <c r="H35" s="511" t="str">
        <f>(IF(D35-C36&gt;0,1)+IF(E35-C37&gt;0,1)+IF(F35-C38&gt;0,1)+IF(G35-C39&gt;0,1))&amp;"-"&amp;(IF(D35-C36&lt;0,1)+IF(E35-C37&lt;0,1)+IF(F35-C38&lt;0,1)+IF(G35-C39&lt;0,1))</f>
        <v>0-0</v>
      </c>
      <c r="I35" s="510" t="str">
        <f>IF(AND(B35&lt;&gt;"",M$35=TRUE),A$35&amp;RANK(M35,M$36:M$40,0),"")</f>
        <v/>
      </c>
      <c r="J35" s="512">
        <f>VALUE(LEFT(H35,1))</f>
        <v>0</v>
      </c>
      <c r="K35" s="513">
        <f>IF(AND(J35=1,J36=1,D35&gt;C36),1)+IF(AND(J35=1,J37=1,E35&gt;C37),1)+IF(AND(J35=1,J38=1,F35&gt;C38),1)+IF(AND(J35=1,J39=1,G35&gt;C39),1)+IF(AND(J35=2,J36=2,D35&gt;C36),1)+IF(AND(J35=2,J37=2,E35&gt;C37),1)+IF(AND(J35=2,J38=2,F35&gt;C38),1)+IF(AND(J35=2,J39=2,G35&gt;C39),1)+IF(AND(J35=3,J36=3,D35&gt;C36),1)+IF(AND(J35=3,J37=3,E35&gt;C37),1)+IF(AND(J35=3,J38=3,F35&gt;C38),1)+IF(AND(J35=3,J39=3,G35&gt;C39),1)</f>
        <v>0</v>
      </c>
      <c r="L35" s="1305">
        <f>IF(AND(J35=1,J36=1),D35-C36)+IF(AND(J35=1,J37=1),E35-C37)+IF(AND(J35=1,J38=1),F35-C38)+IF(AND(J35=1,J39=1),G35-C39)+IF(AND(J35=2,J36=2),D35-C36)+IF(AND(J35=2,J37=2),E35-C37)+IF(AND(J35=2,J38=2),F35-C38)+IF(AND(J35=2,J39=2),G35-C39)+IF(AND(J35=3,J36=3),D35-C36)+IF(AND(J35=3,J37=3),E35-C37)+IF(AND(J35=3,J38=3),F35-C38)+IF(AND(J35=3,J39=3),G35-C39)</f>
        <v>0</v>
      </c>
      <c r="M35" s="515">
        <f>10000*J35+K35*100+L35</f>
        <v>0</v>
      </c>
      <c r="N35" s="668"/>
    </row>
    <row r="36" spans="1:14" s="506" customFormat="1" hidden="1" x14ac:dyDescent="0.2">
      <c r="A36" s="500">
        <v>2</v>
      </c>
      <c r="B36" s="518"/>
      <c r="C36" s="510"/>
      <c r="D36" s="509"/>
      <c r="E36" s="510"/>
      <c r="F36" s="510"/>
      <c r="G36" s="510"/>
      <c r="H36" s="511" t="str">
        <f>(IF(C36-D35&gt;0,1)+IF(E36-D37&gt;0,1)+IF(F36-D38&gt;0,1)+IF(G36-D39&gt;0,1))&amp;"-"&amp;(IF(C36-D35&lt;0,1)+IF(E36-D37&lt;0,1)+IF(F36-D38&lt;0,1)+IF(G36-D39&lt;0,1))</f>
        <v>0-0</v>
      </c>
      <c r="I36" s="510" t="str">
        <f>IF(AND(B36&lt;&gt;"",M$35=TRUE),A$35&amp;RANK(M36,M$36:M$40,0),"")</f>
        <v/>
      </c>
      <c r="J36" s="512">
        <f t="shared" ref="J36:J39" si="8">VALUE(LEFT(H36,1))</f>
        <v>0</v>
      </c>
      <c r="K36" s="639">
        <f>IF(AND(J36=1,J35=1,C36&gt;D35),1)+IF(AND(J36=1,J37=1,E36&gt;D37),1)+IF(AND(J36=1,J38=1,F36&gt;D38),1)+IF(AND(J36=1,J39=1,G36&gt;D39),1)+IF(AND(J36=2,J35=2,C36&gt;D35),1)+IF(AND(J36=2,J37=2,E36&gt;D37),1)+IF(AND(J36=2,J38=2,F36&gt;D38),1)+IF(AND(J36=2,J39=2,G36&gt;D39),1)+IF(AND(J36=3,J35=3,C36&gt;D35),1)+IF(AND(J36=3,J37=3,E36&gt;D37),1)+IF(AND(J36=3,J38=3,F36&gt;D38),1)+IF(AND(J36=3,J39=3,G36&gt;D39),1)</f>
        <v>0</v>
      </c>
      <c r="L36" s="1305">
        <f>IF(AND(J36=1,J35=1),C36-D35)+IF(AND(J36=1,J37=1),E36-D37)+IF(AND(J36=1,J38=1),F36-D38)+IF(AND(J36=1,J39=1),G36-D39)+IF(AND(J36=2,J35=2),C36-D35)+IF(AND(J36=2,J37=2),E36-D37)+IF(AND(J36=2,J38=2),F36-D38)+IF(AND(J36=2,J39=2),G36-D39)+IF(AND(J36=3,J35=3),C36-D35)+IF(AND(J36=3,J37=3),E36-D37)+IF(AND(J36=3,J38=3),F36-D38)+IF(AND(J36=3,J39=3),G36-D39)</f>
        <v>0</v>
      </c>
      <c r="M36" s="515">
        <f t="shared" ref="M36:M39" si="9">10000*J36+K36*100+L36</f>
        <v>0</v>
      </c>
      <c r="N36" s="668"/>
    </row>
    <row r="37" spans="1:14" s="506" customFormat="1" hidden="1" x14ac:dyDescent="0.2">
      <c r="A37" s="500">
        <v>3</v>
      </c>
      <c r="B37" s="518"/>
      <c r="C37" s="510"/>
      <c r="D37" s="520"/>
      <c r="E37" s="509"/>
      <c r="F37" s="510"/>
      <c r="G37" s="510"/>
      <c r="H37" s="511" t="str">
        <f>(IF(C37-E35&gt;0,1)+IF(D37-E36&gt;0,1)+IF(F37-E38&gt;0,1)+IF(G37-E39&gt;0,1))&amp;"-"&amp;(IF(C37-E35&lt;0,1)+IF(D37-E36&lt;0,1)+IF(F37-E38&lt;0,1)+IF(G37-E39&lt;0,1))</f>
        <v>0-0</v>
      </c>
      <c r="I37" s="510" t="str">
        <f>IF(AND(B37&lt;&gt;"",M$35=TRUE),A$35&amp;RANK(M37,M$36:M$40,0),"")</f>
        <v/>
      </c>
      <c r="J37" s="512">
        <f t="shared" si="8"/>
        <v>0</v>
      </c>
      <c r="K37" s="639">
        <f>IF(AND(J37=1,J35=1,C37&gt;E35),1)+IF(AND(J37=1,J36=1,D37&gt;E36),1)+IF(AND(J37=1,J38=1,F37&gt;E38),1)+IF(AND(J37=1,J39=1,G37&gt;E39),1)+IF(AND(J37=2,J35=2,C37&gt;E35),1)+IF(AND(J37=2,J36=2,D37&gt;E36),1)+IF(AND(J37=2,J38=2,F37&gt;E38),1)+IF(AND(J37=2,J39=2,G37&gt;E39),1)+IF(AND(J37=3,J35=3,C37&gt;E35),1)+IF(AND(J37=3,J36=3,D37&gt;E36),1)+IF(AND(J37=3,J38=3,F37&gt;E38),1)+IF(AND(J37=3,J39=3,G37&gt;E39),1)</f>
        <v>0</v>
      </c>
      <c r="L37" s="1305">
        <f>IF(AND(J37=1,J35=1),C37-E35)+IF(AND(J37=1,J36=1),D37-E36)+IF(AND(J37=1,J38=1),F37-E38)+IF(AND(J37=1,J39=1),G37-E39)+IF(AND(J37=2,J35=2),C37-E35)+IF(AND(J37=2,J36=2),D37-E36)+IF(AND(J37=2,J38=2),F37-E38)+IF(AND(J37=2,J39=2),G37-E39)+IF(AND(J37=3,J35=3),C37-E35)+IF(AND(J37=3,J36=3),D37-E36)+IF(AND(J37=3,J38=3),F37-E38)+IF(AND(J37=3,J39=3),G37-E39)</f>
        <v>0</v>
      </c>
      <c r="M37" s="515">
        <f t="shared" si="9"/>
        <v>0</v>
      </c>
      <c r="N37" s="668"/>
    </row>
    <row r="38" spans="1:14" s="506" customFormat="1" hidden="1" x14ac:dyDescent="0.2">
      <c r="A38" s="500">
        <v>4</v>
      </c>
      <c r="B38" s="521"/>
      <c r="C38" s="510"/>
      <c r="D38" s="520"/>
      <c r="E38" s="510"/>
      <c r="F38" s="509"/>
      <c r="G38" s="522"/>
      <c r="H38" s="511" t="str">
        <f>(IF(C38-F35&gt;0,1)+IF(D38-F36&gt;0,1)+IF(E38-F37&gt;0,1)+IF(G38-F39&gt;0,1))&amp;"-"&amp;(IF(C38-F35&lt;0,1)+IF(D38-F36&lt;0,1)+IF(E38-F37&lt;0,1)+IF(G38-F39&lt;0,1))</f>
        <v>0-0</v>
      </c>
      <c r="I38" s="510" t="str">
        <f>IF(AND(B38&lt;&gt;"",M$35=TRUE),A$35&amp;RANK(M38,M$36:M$40,0),"")</f>
        <v/>
      </c>
      <c r="J38" s="512">
        <f t="shared" si="8"/>
        <v>0</v>
      </c>
      <c r="K38" s="639">
        <f>IF(AND(J38=1,J35=1,C38&gt;F35),1)+IF(AND(J38=1,J36=1,D38&gt;F36),1)+IF(AND(J38=1,J37=1,E38&gt;F37),1)+IF(AND(J38=1,J39=1,G38&gt;F39),1)+IF(AND(J38=2,J35=2,C38&gt;F35),1)+IF(AND(J38=2,J36=2,D38&gt;F36),1)+IF(AND(J38=2,J37=2,E38&gt;F37),1)+IF(AND(J38=2,J39=2,G38&gt;F39),1)+IF(AND(J38=3,J35=3,C38&gt;F35),1)+IF(AND(J38=3,J36=3,D38&gt;F36),1)+IF(AND(J38=3,J37=3,E38&gt;F37),1)+IF(AND(J38=3,J39=3,G38&gt;F39),1)</f>
        <v>0</v>
      </c>
      <c r="L38" s="1305">
        <f>IF(AND(J38=1,J35=1),C38-F35)+IF(AND(J38=1,J36=1),D38-F36)+IF(AND(J38=1,J37=1),E38-F37)+IF(AND(J38=1,J39=1),G38-F39)+IF(AND(J38=2,J35=2),C38-F35)+IF(AND(J38=2,J36=2),D38-F36)+IF(AND(J38=2,J37=2),E38-F37)+IF(AND(J38=2,J39=2),G38-F39)+IF(AND(J38=3,J35=3),C38-F35)+IF(AND(J38=3,J36=3),D38-F36)+IF(AND(J38=3,J37=3),E38-F37)+IF(AND(J38=3,J39=3),G38-F39)</f>
        <v>0</v>
      </c>
      <c r="M38" s="515">
        <f t="shared" si="9"/>
        <v>0</v>
      </c>
      <c r="N38" s="668"/>
    </row>
    <row r="39" spans="1:14" s="506" customFormat="1" hidden="1" x14ac:dyDescent="0.2">
      <c r="A39" s="500">
        <v>5</v>
      </c>
      <c r="B39" s="521"/>
      <c r="C39" s="510"/>
      <c r="D39" s="510"/>
      <c r="E39" s="510"/>
      <c r="F39" s="510"/>
      <c r="G39" s="509"/>
      <c r="H39" s="511" t="str">
        <f>(IF(C39-G35&gt;0,1)+IF(D39-G36&gt;0,1)+IF(E39-G37&gt;0,1)+IF(F39-G38&gt;0,1))&amp;"-"&amp;(IF(C39-G35&lt;0,1)+IF(D39-G36&lt;0,1)+IF(E39-G37&lt;0,1)+IF(F39-G38&lt;0,1))</f>
        <v>0-0</v>
      </c>
      <c r="I39" s="510" t="str">
        <f>IF(AND(B39&lt;&gt;"",M$35=TRUE),A$35&amp;RANK(M39,M$36:M$40,0),"")</f>
        <v/>
      </c>
      <c r="J39" s="512">
        <f t="shared" si="8"/>
        <v>0</v>
      </c>
      <c r="K39" s="639">
        <f>IF(AND(J39=1,J35=1,C39&gt;G35),1)+IF(AND(J39=1,J36=1,D39&gt;G36),1)+IF(AND(J39=1,J37=1,E39&gt;G37),1)+IF(AND(J39=1,J38=1,F39&gt;G38),1)+IF(AND(J39=2,J35=2,C39&gt;G35),1)+IF(AND(J39=2,J36=2,D39&gt;G36),1)+IF(AND(J39=2,J37=2,E39&gt;G37),1)+IF(AND(J39=2,J38=2,F39&gt;G38),1)+IF(AND(J39=3,J35=3,C39&gt;G35),1)+IF(AND(J39=3,J36=3,D39&gt;G36),1)+IF(AND(J39=3,J37=3,E39&gt;G37),1)+IF(AND(J39=3,J38=3,F39&gt;G38),1)</f>
        <v>0</v>
      </c>
      <c r="L39" s="1305">
        <f>IF(AND(J39=1,J35=1),C39-G35)+IF(AND(J39=1,J36=1),D39-G36)+IF(AND(J39=1,J37=1),E39-G37)+IF(AND(J39=1,J38=1),F39-G38)+IF(AND(J39=2,J35=2),C39-G35)+IF(AND(J39=2,J36=2),D39-G36)+IF(AND(J39=2,J37=2),E39-G37)+IF(AND(J39=2,J38=2),F39-G38)+IF(AND(J39=3,J35=3),C39-G35)+IF(AND(J39=3,J36=3),D39-G36)+IF(AND(J39=3,J37=3),E39-G37)+IF(AND(J39=3,J38=3),F39-G38)</f>
        <v>0</v>
      </c>
      <c r="M39" s="515">
        <f t="shared" si="9"/>
        <v>0</v>
      </c>
      <c r="N39" s="668"/>
    </row>
    <row r="40" spans="1:14" s="506" customFormat="1" hidden="1" x14ac:dyDescent="0.2">
      <c r="A40" s="523"/>
      <c r="B40" s="524"/>
      <c r="C40" s="525"/>
      <c r="D40" s="526"/>
      <c r="E40" s="525"/>
      <c r="F40" s="527"/>
      <c r="H40" s="528"/>
      <c r="I40" s="529"/>
      <c r="J40" s="496"/>
      <c r="K40" s="530"/>
      <c r="L40" s="531"/>
      <c r="M40" s="496"/>
      <c r="N40" s="668"/>
    </row>
    <row r="41" spans="1:14" s="498" customFormat="1" hidden="1" x14ac:dyDescent="0.2">
      <c r="A41" s="500" t="s">
        <v>145</v>
      </c>
      <c r="B41" s="501"/>
      <c r="C41" s="502">
        <v>1</v>
      </c>
      <c r="D41" s="502">
        <v>2</v>
      </c>
      <c r="E41" s="502">
        <v>3</v>
      </c>
      <c r="F41" s="502">
        <v>4</v>
      </c>
      <c r="G41" s="502"/>
      <c r="H41" s="501" t="s">
        <v>363</v>
      </c>
      <c r="I41" s="501" t="s">
        <v>26</v>
      </c>
      <c r="J41" s="533" t="s">
        <v>156</v>
      </c>
      <c r="K41" s="504" t="s">
        <v>156</v>
      </c>
      <c r="L41" s="534" t="s">
        <v>364</v>
      </c>
      <c r="M41" s="535" t="b">
        <f>OR(AND(COUNTA(B42:B46)=3,COUNTA(C42:G46)=6),AND(COUNTA(B42:B46)=4,COUNTA(C42:G46)=12),AND(COUNTA(B42:B46)=5,COUNTA(C42:G46)=20))</f>
        <v>0</v>
      </c>
      <c r="N41" s="668"/>
    </row>
    <row r="42" spans="1:14" s="498" customFormat="1" hidden="1" x14ac:dyDescent="0.2">
      <c r="A42" s="500">
        <v>1</v>
      </c>
      <c r="B42" s="508"/>
      <c r="C42" s="509"/>
      <c r="D42" s="510"/>
      <c r="E42" s="510"/>
      <c r="F42" s="510"/>
      <c r="G42" s="510"/>
      <c r="H42" s="511" t="str">
        <f>(IF(D42-C43&gt;0,1)+IF(E42-C44&gt;0,1)+IF(F42-C45&gt;0,1)+IF(G42-C46&gt;0,1))&amp;"-"&amp;(IF(D42-C43&lt;0,1)+IF(E42-C44&lt;0,1)+IF(F42-C45&lt;0,1)+IF(G42-C46&lt;0,1))</f>
        <v>0-0</v>
      </c>
      <c r="I42" s="510" t="str">
        <f>IF(AND(B42&lt;&gt;"",M$42=TRUE),A$42&amp;RANK(M42,M$43:VM$47,0),"")</f>
        <v/>
      </c>
      <c r="J42" s="512">
        <f>VALUE(LEFT(H42,1))</f>
        <v>0</v>
      </c>
      <c r="K42" s="513">
        <f>IF(AND(J42=1,J43=1,D42&gt;C43),1)+IF(AND(J42=1,J44=1,E42&gt;C44),1)+IF(AND(J42=1,J45=1,F42&gt;C45),1)+IF(AND(J42=1,J46=1,G42&gt;C46),1)+IF(AND(J42=2,J43=2,D42&gt;C43),1)+IF(AND(J42=2,J44=2,E42&gt;C44),1)+IF(AND(J42=2,J45=2,F42&gt;C45),1)+IF(AND(J42=2,J46=2,G42&gt;C46),1)+IF(AND(J42=3,J43=3,D42&gt;C43),1)+IF(AND(J42=3,J44=3,E42&gt;C44),1)+IF(AND(J42=3,J45=3,F42&gt;C45),1)+IF(AND(J42=3,J46=3,G42&gt;C46),1)</f>
        <v>0</v>
      </c>
      <c r="L42" s="1305">
        <f>IF(AND(J42=1,J43=1),D42-C43)+IF(AND(J42=1,J44=1),E42-C44)+IF(AND(J42=1,J45=1),F42-C45)+IF(AND(J42=1,J46=1),G42-C46)+IF(AND(J42=2,J43=2),D42-C43)+IF(AND(J42=2,J44=2),E42-C44)+IF(AND(J42=2,J45=2),F42-C45)+IF(AND(J42=2,J46=2),G42-C46)+IF(AND(J42=3,J43=3),D42-C43)+IF(AND(J42=3,J44=3),E42-C44)+IF(AND(J42=3,J45=3),F42-C45)+IF(AND(J42=3,J46=3),G42-C46)</f>
        <v>0</v>
      </c>
      <c r="M42" s="515">
        <f>10000*J42+K42*100+L42</f>
        <v>0</v>
      </c>
      <c r="N42" s="668"/>
    </row>
    <row r="43" spans="1:14" s="498" customFormat="1" hidden="1" x14ac:dyDescent="0.2">
      <c r="A43" s="500">
        <v>2</v>
      </c>
      <c r="B43" s="518"/>
      <c r="C43" s="510"/>
      <c r="D43" s="509"/>
      <c r="E43" s="510"/>
      <c r="F43" s="510"/>
      <c r="G43" s="510"/>
      <c r="H43" s="511" t="str">
        <f>(IF(C43-D42&gt;0,1)+IF(E43-D44&gt;0,1)+IF(F43-D45&gt;0,1)+IF(G43-D46&gt;0,1))&amp;"-"&amp;(IF(C43-D42&lt;0,1)+IF(E43-D44&lt;0,1)+IF(F43-D45&lt;0,1)+IF(G43-D46&lt;0,1))</f>
        <v>0-0</v>
      </c>
      <c r="I43" s="510" t="str">
        <f>IF(AND(B43&lt;&gt;"",M$42=TRUE),A$42&amp;RANK(M43,M$43:VM$47,0),"")</f>
        <v/>
      </c>
      <c r="J43" s="512">
        <f t="shared" ref="J43:J46" si="10">VALUE(LEFT(H43,1))</f>
        <v>0</v>
      </c>
      <c r="K43" s="639">
        <f>IF(AND(J43=1,J42=1,C43&gt;D42),1)+IF(AND(J43=1,J44=1,E43&gt;D44),1)+IF(AND(J43=1,J45=1,F43&gt;D45),1)+IF(AND(J43=1,J46=1,G43&gt;D46),1)+IF(AND(J43=2,J42=2,C43&gt;D42),1)+IF(AND(J43=2,J44=2,E43&gt;D44),1)+IF(AND(J43=2,J45=2,F43&gt;D45),1)+IF(AND(J43=2,J46=2,G43&gt;D46),1)+IF(AND(J43=3,J42=3,C43&gt;D42),1)+IF(AND(J43=3,J44=3,E43&gt;D44),1)+IF(AND(J43=3,J45=3,F43&gt;D45),1)+IF(AND(J43=3,J46=3,G43&gt;D46),1)</f>
        <v>0</v>
      </c>
      <c r="L43" s="1305">
        <f>IF(AND(J43=1,J42=1),C43-D42)+IF(AND(J43=1,J44=1),E43-D44)+IF(AND(J43=1,J45=1),F43-D45)+IF(AND(J43=1,J46=1),G43-D46)+IF(AND(J43=2,J42=2),C43-D42)+IF(AND(J43=2,J44=2),E43-D44)+IF(AND(J43=2,J45=2),F43-D45)+IF(AND(J43=2,J46=2),G43-D46)+IF(AND(J43=3,J42=3),C43-D42)+IF(AND(J43=3,J44=3),E43-D44)+IF(AND(J43=3,J45=3),F43-D45)+IF(AND(J43=3,J46=3),G43-D46)</f>
        <v>0</v>
      </c>
      <c r="M43" s="515">
        <f t="shared" ref="M43:M46" si="11">10000*J43+K43*100+L43</f>
        <v>0</v>
      </c>
      <c r="N43" s="668"/>
    </row>
    <row r="44" spans="1:14" s="498" customFormat="1" hidden="1" x14ac:dyDescent="0.2">
      <c r="A44" s="500">
        <v>3</v>
      </c>
      <c r="B44" s="518"/>
      <c r="C44" s="510"/>
      <c r="D44" s="520"/>
      <c r="E44" s="509"/>
      <c r="F44" s="510"/>
      <c r="G44" s="510"/>
      <c r="H44" s="511" t="str">
        <f>(IF(C44-E42&gt;0,1)+IF(D44-E43&gt;0,1)+IF(F44-E45&gt;0,1)+IF(G44-E46&gt;0,1))&amp;"-"&amp;(IF(C44-E42&lt;0,1)+IF(D44-E43&lt;0,1)+IF(F44-E45&lt;0,1)+IF(G44-E46&lt;0,1))</f>
        <v>0-0</v>
      </c>
      <c r="I44" s="510" t="str">
        <f>IF(AND(B44&lt;&gt;"",M$42=TRUE),A$42&amp;RANK(M44,M$43:VM$47,0),"")</f>
        <v/>
      </c>
      <c r="J44" s="512">
        <f t="shared" si="10"/>
        <v>0</v>
      </c>
      <c r="K44" s="639">
        <f>IF(AND(J44=1,J42=1,C44&gt;E42),1)+IF(AND(J44=1,J43=1,D44&gt;E43),1)+IF(AND(J44=1,J45=1,F44&gt;E45),1)+IF(AND(J44=1,J46=1,G44&gt;E46),1)+IF(AND(J44=2,J42=2,C44&gt;E42),1)+IF(AND(J44=2,J43=2,D44&gt;E43),1)+IF(AND(J44=2,J45=2,F44&gt;E45),1)+IF(AND(J44=2,J46=2,G44&gt;E46),1)+IF(AND(J44=3,J42=3,C44&gt;E42),1)+IF(AND(J44=3,J43=3,D44&gt;E43),1)+IF(AND(J44=3,J45=3,F44&gt;E45),1)+IF(AND(J44=3,J46=3,G44&gt;E46),1)</f>
        <v>0</v>
      </c>
      <c r="L44" s="1305">
        <f>IF(AND(J44=1,J42=1),C44-E42)+IF(AND(J44=1,J43=1),D44-E43)+IF(AND(J44=1,J45=1),F44-E45)+IF(AND(J44=1,J46=1),G44-E46)+IF(AND(J44=2,J42=2),C44-E42)+IF(AND(J44=2,J43=2),D44-E43)+IF(AND(J44=2,J45=2),F44-E45)+IF(AND(J44=2,J46=2),G44-E46)+IF(AND(J44=3,J42=3),C44-E42)+IF(AND(J44=3,J43=3),D44-E43)+IF(AND(J44=3,J45=3),F44-E45)+IF(AND(J44=3,J46=3),G44-E46)</f>
        <v>0</v>
      </c>
      <c r="M44" s="515">
        <f t="shared" si="11"/>
        <v>0</v>
      </c>
      <c r="N44" s="668"/>
    </row>
    <row r="45" spans="1:14" s="498" customFormat="1" hidden="1" x14ac:dyDescent="0.2">
      <c r="A45" s="500">
        <v>4</v>
      </c>
      <c r="B45" s="521"/>
      <c r="C45" s="510"/>
      <c r="D45" s="520"/>
      <c r="E45" s="510"/>
      <c r="F45" s="509"/>
      <c r="G45" s="522"/>
      <c r="H45" s="511" t="str">
        <f>(IF(C45-F42&gt;0,1)+IF(D45-F43&gt;0,1)+IF(E45-F44&gt;0,1)+IF(G45-F46&gt;0,1))&amp;"-"&amp;(IF(C45-F42&lt;0,1)+IF(D45-F43&lt;0,1)+IF(E45-F44&lt;0,1)+IF(G45-F46&lt;0,1))</f>
        <v>0-0</v>
      </c>
      <c r="I45" s="510" t="str">
        <f>IF(AND(B45&lt;&gt;"",M$42=TRUE),A$42&amp;RANK(M45,M$43:VM$47,0),"")</f>
        <v/>
      </c>
      <c r="J45" s="512">
        <f t="shared" si="10"/>
        <v>0</v>
      </c>
      <c r="K45" s="639">
        <f>IF(AND(J45=1,J42=1,C45&gt;F42),1)+IF(AND(J45=1,J43=1,D45&gt;F43),1)+IF(AND(J45=1,J44=1,E45&gt;F44),1)+IF(AND(J45=1,J46=1,G45&gt;F46),1)+IF(AND(J45=2,J42=2,C45&gt;F42),1)+IF(AND(J45=2,J43=2,D45&gt;F43),1)+IF(AND(J45=2,J44=2,E45&gt;F44),1)+IF(AND(J45=2,J46=2,G45&gt;F46),1)+IF(AND(J45=3,J42=3,C45&gt;F42),1)+IF(AND(J45=3,J43=3,D45&gt;F43),1)+IF(AND(J45=3,J44=3,E45&gt;F44),1)+IF(AND(J45=3,J46=3,G45&gt;F46),1)</f>
        <v>0</v>
      </c>
      <c r="L45" s="1305">
        <f>IF(AND(J45=1,J42=1),C45-F42)+IF(AND(J45=1,J43=1),D45-F43)+IF(AND(J45=1,J44=1),E45-F44)+IF(AND(J45=1,J46=1),G45-F46)+IF(AND(J45=2,J42=2),C45-F42)+IF(AND(J45=2,J43=2),D45-F43)+IF(AND(J45=2,J44=2),E45-F44)+IF(AND(J45=2,J46=2),G45-F46)+IF(AND(J45=3,J42=3),C45-F42)+IF(AND(J45=3,J43=3),D45-F43)+IF(AND(J45=3,J44=3),E45-F44)+IF(AND(J45=3,J46=3),G45-F46)</f>
        <v>0</v>
      </c>
      <c r="M45" s="515">
        <f t="shared" si="11"/>
        <v>0</v>
      </c>
      <c r="N45" s="668"/>
    </row>
    <row r="46" spans="1:14" s="498" customFormat="1" hidden="1" x14ac:dyDescent="0.2">
      <c r="A46" s="500">
        <v>5</v>
      </c>
      <c r="B46" s="521"/>
      <c r="C46" s="510"/>
      <c r="D46" s="510"/>
      <c r="E46" s="510"/>
      <c r="F46" s="510"/>
      <c r="G46" s="509"/>
      <c r="H46" s="511" t="str">
        <f>(IF(C46-G42&gt;0,1)+IF(D46-G43&gt;0,1)+IF(E46-G44&gt;0,1)+IF(F46-G45&gt;0,1))&amp;"-"&amp;(IF(C46-G42&lt;0,1)+IF(D46-G43&lt;0,1)+IF(E46-G44&lt;0,1)+IF(F46-G45&lt;0,1))</f>
        <v>0-0</v>
      </c>
      <c r="I46" s="510" t="str">
        <f>IF(AND(B46&lt;&gt;"",M$42=TRUE),A$42&amp;RANK(M46,M$43:VM$47,0),"")</f>
        <v/>
      </c>
      <c r="J46" s="512">
        <f t="shared" si="10"/>
        <v>0</v>
      </c>
      <c r="K46" s="639">
        <f>IF(AND(J46=1,J42=1,C46&gt;G42),1)+IF(AND(J46=1,J43=1,D46&gt;G43),1)+IF(AND(J46=1,J44=1,E46&gt;G44),1)+IF(AND(J46=1,J45=1,F46&gt;G45),1)+IF(AND(J46=2,J42=2,C46&gt;G42),1)+IF(AND(J46=2,J43=2,D46&gt;G43),1)+IF(AND(J46=2,J44=2,E46&gt;G44),1)+IF(AND(J46=2,J45=2,F46&gt;G45),1)+IF(AND(J46=3,J42=3,C46&gt;G42),1)+IF(AND(J46=3,J43=3,D46&gt;G43),1)+IF(AND(J46=3,J44=3,E46&gt;G44),1)+IF(AND(J46=3,J45=3,F46&gt;G45),1)</f>
        <v>0</v>
      </c>
      <c r="L46" s="1305">
        <f>IF(AND(J46=1,J42=1),C46-G42)+IF(AND(J46=1,J43=1),D46-G43)+IF(AND(J46=1,J44=1),E46-G44)+IF(AND(J46=1,J45=1),F46-G45)+IF(AND(J46=2,J42=2),C46-G42)+IF(AND(J46=2,J43=2),D46-G43)+IF(AND(J46=2,J44=2),E46-G44)+IF(AND(J46=2,J45=2),F46-G45)+IF(AND(J46=3,J42=3),C46-G42)+IF(AND(J46=3,J43=3),D46-G43)+IF(AND(J46=3,J44=3),E46-G44)+IF(AND(J46=3,J45=3),F46-G45)</f>
        <v>0</v>
      </c>
      <c r="M46" s="515">
        <f t="shared" si="11"/>
        <v>0</v>
      </c>
      <c r="N46" s="668"/>
    </row>
    <row r="47" spans="1:14" s="506" customFormat="1" hidden="1" x14ac:dyDescent="0.2">
      <c r="A47" s="523"/>
      <c r="B47" s="524"/>
      <c r="C47" s="525"/>
      <c r="D47" s="526"/>
      <c r="E47" s="525"/>
      <c r="F47" s="527"/>
      <c r="H47" s="528"/>
      <c r="I47" s="529"/>
      <c r="J47" s="496"/>
      <c r="K47" s="537"/>
      <c r="L47" s="531"/>
      <c r="M47" s="496"/>
      <c r="N47" s="668"/>
    </row>
    <row r="48" spans="1:14" s="498" customFormat="1" hidden="1" x14ac:dyDescent="0.2">
      <c r="A48" s="500" t="s">
        <v>146</v>
      </c>
      <c r="B48" s="501"/>
      <c r="C48" s="502">
        <v>1</v>
      </c>
      <c r="D48" s="502">
        <v>2</v>
      </c>
      <c r="E48" s="502">
        <v>3</v>
      </c>
      <c r="F48" s="502">
        <v>4</v>
      </c>
      <c r="G48" s="502"/>
      <c r="H48" s="501" t="s">
        <v>363</v>
      </c>
      <c r="I48" s="501" t="s">
        <v>26</v>
      </c>
      <c r="J48" s="533" t="s">
        <v>156</v>
      </c>
      <c r="K48" s="504" t="s">
        <v>156</v>
      </c>
      <c r="L48" s="534" t="s">
        <v>364</v>
      </c>
      <c r="M48" s="535" t="b">
        <f>OR(AND(COUNTA(B49:B53)=3,COUNTA(C49:G53)=6),AND(COUNTA(B49:B53)=4,COUNTA(C49:G53)=12),AND(COUNTA(B49:B53)=5,COUNTA(C49:G53)=20))</f>
        <v>0</v>
      </c>
      <c r="N48" s="668"/>
    </row>
    <row r="49" spans="1:14" s="498" customFormat="1" hidden="1" x14ac:dyDescent="0.2">
      <c r="A49" s="500">
        <v>1</v>
      </c>
      <c r="B49" s="508"/>
      <c r="C49" s="509"/>
      <c r="D49" s="510"/>
      <c r="E49" s="510"/>
      <c r="F49" s="510"/>
      <c r="G49" s="510"/>
      <c r="H49" s="511" t="str">
        <f>(IF(D49-C50&gt;0,1)+IF(E49-C51&gt;0,1)+IF(F49-C52&gt;0,1)+IF(G49-C53&gt;0,1))&amp;"-"&amp;(IF(D49-C50&lt;0,1)+IF(E49-C51&lt;0,1)+IF(F49-C52&lt;0,1)+IF(G49-C53&lt;0,1))</f>
        <v>0-0</v>
      </c>
      <c r="I49" s="510" t="str">
        <f>IF(AND(B49&lt;&gt;"",M$49=TRUE),A$49&amp;RANK(M49,M$50:M$54,0),"")</f>
        <v/>
      </c>
      <c r="J49" s="512">
        <f>VALUE(LEFT(H49,1))</f>
        <v>0</v>
      </c>
      <c r="K49" s="513">
        <f>IF(AND(J49=1,J50=1,D49&gt;C50),1)+IF(AND(J49=1,J51=1,E49&gt;C51),1)+IF(AND(J49=1,J52=1,F49&gt;C52),1)+IF(AND(J49=1,J53=1,G49&gt;C53),1)+IF(AND(J49=2,J50=2,D49&gt;C50),1)+IF(AND(J49=2,J51=2,E49&gt;C51),1)+IF(AND(J49=2,J52=2,F49&gt;C52),1)+IF(AND(J49=2,J53=2,G49&gt;C53),1)+IF(AND(J49=3,J50=3,D49&gt;C50),1)+IF(AND(J49=3,J51=3,E49&gt;C51),1)+IF(AND(J49=3,J52=3,F49&gt;C52),1)+IF(AND(J49=3,J53=3,G49&gt;C53),1)</f>
        <v>0</v>
      </c>
      <c r="L49" s="1305">
        <f>IF(AND(J49=1,J50=1),D49-C50)+IF(AND(J49=1,J51=1),E49-C51)+IF(AND(J49=1,J52=1),F49-C52)+IF(AND(J49=1,J53=1),G49-C53)+IF(AND(J49=2,J50=2),D49-C50)+IF(AND(J49=2,J51=2),E49-C51)+IF(AND(J49=2,J52=2),F49-C52)+IF(AND(J49=2,J53=2),G49-C53)+IF(AND(J49=3,J50=3),D49-C50)+IF(AND(J49=3,J51=3),E49-C51)+IF(AND(J49=3,J52=3),F49-C52)+IF(AND(J49=3,J53=3),G49-C53)</f>
        <v>0</v>
      </c>
      <c r="M49" s="515">
        <f>10000*J49+K49*100+L49</f>
        <v>0</v>
      </c>
      <c r="N49" s="668"/>
    </row>
    <row r="50" spans="1:14" s="498" customFormat="1" hidden="1" x14ac:dyDescent="0.2">
      <c r="A50" s="500">
        <v>2</v>
      </c>
      <c r="B50" s="518"/>
      <c r="C50" s="510"/>
      <c r="D50" s="509"/>
      <c r="E50" s="510"/>
      <c r="F50" s="510"/>
      <c r="G50" s="510"/>
      <c r="H50" s="511" t="str">
        <f>(IF(C50-D49&gt;0,1)+IF(E50-D51&gt;0,1)+IF(F50-D52&gt;0,1)+IF(G50-D53&gt;0,1))&amp;"-"&amp;(IF(C50-D49&lt;0,1)+IF(E50-D51&lt;0,1)+IF(F50-D52&lt;0,1)+IF(G50-D53&lt;0,1))</f>
        <v>0-0</v>
      </c>
      <c r="I50" s="510" t="str">
        <f>IF(AND(B50&lt;&gt;"",M$49=TRUE),A$49&amp;RANK(M50,M$50:M$54,0),"")</f>
        <v/>
      </c>
      <c r="J50" s="512">
        <f t="shared" ref="J50:J53" si="12">VALUE(LEFT(H50,1))</f>
        <v>0</v>
      </c>
      <c r="K50" s="639">
        <f>IF(AND(J50=1,J49=1,C50&gt;D49),1)+IF(AND(J50=1,J51=1,E50&gt;D51),1)+IF(AND(J50=1,J52=1,F50&gt;D52),1)+IF(AND(J50=1,J53=1,G50&gt;D53),1)+IF(AND(J50=2,J49=2,C50&gt;D49),1)+IF(AND(J50=2,J51=2,E50&gt;D51),1)+IF(AND(J50=2,J52=2,F50&gt;D52),1)+IF(AND(J50=2,J53=2,G50&gt;D53),1)+IF(AND(J50=3,J49=3,C50&gt;D49),1)+IF(AND(J50=3,J51=3,E50&gt;D51),1)+IF(AND(J50=3,J52=3,F50&gt;D52),1)+IF(AND(J50=3,J53=3,G50&gt;D53),1)</f>
        <v>0</v>
      </c>
      <c r="L50" s="1305">
        <f>IF(AND(J50=1,J49=1),C50-D49)+IF(AND(J50=1,J51=1),E50-D51)+IF(AND(J50=1,J52=1),F50-D52)+IF(AND(J50=1,J53=1),G50-D53)+IF(AND(J50=2,J49=2),C50-D49)+IF(AND(J50=2,J51=2),E50-D51)+IF(AND(J50=2,J52=2),F50-D52)+IF(AND(J50=2,J53=2),G50-D53)+IF(AND(J50=3,J49=3),C50-D49)+IF(AND(J50=3,J51=3),E50-D51)+IF(AND(J50=3,J52=3),F50-D52)+IF(AND(J50=3,J53=3),G50-D53)</f>
        <v>0</v>
      </c>
      <c r="M50" s="515">
        <f t="shared" ref="M50:M53" si="13">10000*J50+K50*100+L50</f>
        <v>0</v>
      </c>
      <c r="N50" s="668"/>
    </row>
    <row r="51" spans="1:14" s="498" customFormat="1" hidden="1" x14ac:dyDescent="0.2">
      <c r="A51" s="500">
        <v>3</v>
      </c>
      <c r="B51" s="518"/>
      <c r="C51" s="510"/>
      <c r="D51" s="520"/>
      <c r="E51" s="509"/>
      <c r="F51" s="510"/>
      <c r="G51" s="510"/>
      <c r="H51" s="511" t="str">
        <f>(IF(C51-E49&gt;0,1)+IF(D51-E50&gt;0,1)+IF(F51-E52&gt;0,1)+IF(G51-E53&gt;0,1))&amp;"-"&amp;(IF(C51-E49&lt;0,1)+IF(D51-E50&lt;0,1)+IF(F51-E52&lt;0,1)+IF(G51-E53&lt;0,1))</f>
        <v>0-0</v>
      </c>
      <c r="I51" s="510" t="str">
        <f>IF(AND(B51&lt;&gt;"",M$49=TRUE),A$49&amp;RANK(M51,M$50:M$54,0),"")</f>
        <v/>
      </c>
      <c r="J51" s="512">
        <f t="shared" si="12"/>
        <v>0</v>
      </c>
      <c r="K51" s="639">
        <f>IF(AND(J51=1,J49=1,C51&gt;E49),1)+IF(AND(J51=1,J50=1,D51&gt;E50),1)+IF(AND(J51=1,J52=1,F51&gt;E52),1)+IF(AND(J51=1,J53=1,G51&gt;E53),1)+IF(AND(J51=2,J49=2,C51&gt;E49),1)+IF(AND(J51=2,J50=2,D51&gt;E50),1)+IF(AND(J51=2,J52=2,F51&gt;E52),1)+IF(AND(J51=2,J53=2,G51&gt;E53),1)+IF(AND(J51=3,J49=3,C51&gt;E49),1)+IF(AND(J51=3,J50=3,D51&gt;E50),1)+IF(AND(J51=3,J52=3,F51&gt;E52),1)+IF(AND(J51=3,J53=3,G51&gt;E53),1)</f>
        <v>0</v>
      </c>
      <c r="L51" s="1305">
        <f>IF(AND(J51=1,J49=1),C51-E49)+IF(AND(J51=1,J50=1),D51-E50)+IF(AND(J51=1,J52=1),F51-E52)+IF(AND(J51=1,J53=1),G51-E53)+IF(AND(J51=2,J49=2),C51-E49)+IF(AND(J51=2,J50=2),D51-E50)+IF(AND(J51=2,J52=2),F51-E52)+IF(AND(J51=2,J53=2),G51-E53)+IF(AND(J51=3,J49=3),C51-E49)+IF(AND(J51=3,J50=3),D51-E50)+IF(AND(J51=3,J52=3),F51-E52)+IF(AND(J51=3,J53=3),G51-E53)</f>
        <v>0</v>
      </c>
      <c r="M51" s="515">
        <f t="shared" si="13"/>
        <v>0</v>
      </c>
      <c r="N51" s="668"/>
    </row>
    <row r="52" spans="1:14" s="498" customFormat="1" hidden="1" x14ac:dyDescent="0.2">
      <c r="A52" s="500">
        <v>4</v>
      </c>
      <c r="B52" s="521"/>
      <c r="C52" s="510"/>
      <c r="D52" s="520"/>
      <c r="E52" s="510"/>
      <c r="F52" s="509"/>
      <c r="G52" s="522"/>
      <c r="H52" s="511" t="str">
        <f>(IF(C52-F49&gt;0,1)+IF(D52-F50&gt;0,1)+IF(E52-F51&gt;0,1)+IF(G52-F53&gt;0,1))&amp;"-"&amp;(IF(C52-F49&lt;0,1)+IF(D52-F50&lt;0,1)+IF(E52-F51&lt;0,1)+IF(G52-F53&lt;0,1))</f>
        <v>0-0</v>
      </c>
      <c r="I52" s="510" t="str">
        <f>IF(AND(B52&lt;&gt;"",M$49=TRUE),A$49&amp;RANK(M52,M$50:M$54,0),"")</f>
        <v/>
      </c>
      <c r="J52" s="512">
        <f t="shared" si="12"/>
        <v>0</v>
      </c>
      <c r="K52" s="639">
        <f>IF(AND(J52=1,J49=1,C52&gt;F49),1)+IF(AND(J52=1,J50=1,D52&gt;F50),1)+IF(AND(J52=1,J51=1,E52&gt;F51),1)+IF(AND(J52=1,J53=1,G52&gt;F53),1)+IF(AND(J52=2,J49=2,C52&gt;F49),1)+IF(AND(J52=2,J50=2,D52&gt;F50),1)+IF(AND(J52=2,J51=2,E52&gt;F51),1)+IF(AND(J52=2,J53=2,G52&gt;F53),1)+IF(AND(J52=3,J49=3,C52&gt;F49),1)+IF(AND(J52=3,J50=3,D52&gt;F50),1)+IF(AND(J52=3,J51=3,E52&gt;F51),1)+IF(AND(J52=3,J53=3,G52&gt;F53),1)</f>
        <v>0</v>
      </c>
      <c r="L52" s="1305">
        <f>IF(AND(J52=1,J49=1),C52-F49)+IF(AND(J52=1,J50=1),D52-F50)+IF(AND(J52=1,J51=1),E52-F51)+IF(AND(J52=1,J53=1),G52-F53)+IF(AND(J52=2,J49=2),C52-F49)+IF(AND(J52=2,J50=2),D52-F50)+IF(AND(J52=2,J51=2),E52-F51)+IF(AND(J52=2,J53=2),G52-F53)+IF(AND(J52=3,J49=3),C52-F49)+IF(AND(J52=3,J50=3),D52-F50)+IF(AND(J52=3,J51=3),E52-F51)+IF(AND(J52=3,J53=3),G52-F53)</f>
        <v>0</v>
      </c>
      <c r="M52" s="515">
        <f t="shared" si="13"/>
        <v>0</v>
      </c>
      <c r="N52" s="668"/>
    </row>
    <row r="53" spans="1:14" s="498" customFormat="1" hidden="1" x14ac:dyDescent="0.2">
      <c r="A53" s="500">
        <v>5</v>
      </c>
      <c r="B53" s="521"/>
      <c r="C53" s="510"/>
      <c r="D53" s="510"/>
      <c r="E53" s="510"/>
      <c r="F53" s="510"/>
      <c r="G53" s="509"/>
      <c r="H53" s="511" t="str">
        <f>(IF(C53-G49&gt;0,1)+IF(D53-G50&gt;0,1)+IF(E53-G51&gt;0,1)+IF(F53-G52&gt;0,1))&amp;"-"&amp;(IF(C53-G49&lt;0,1)+IF(D53-G50&lt;0,1)+IF(E53-G51&lt;0,1)+IF(F53-G52&lt;0,1))</f>
        <v>0-0</v>
      </c>
      <c r="I53" s="510" t="str">
        <f>IF(AND(B53&lt;&gt;"",M$49=TRUE),A$49&amp;RANK(M53,M$50:M$54,0),"")</f>
        <v/>
      </c>
      <c r="J53" s="512">
        <f t="shared" si="12"/>
        <v>0</v>
      </c>
      <c r="K53" s="639">
        <f>IF(AND(J53=1,J49=1,C53&gt;G49),1)+IF(AND(J53=1,J50=1,D53&gt;G50),1)+IF(AND(J53=1,J51=1,E53&gt;G51),1)+IF(AND(J53=1,J52=1,F53&gt;G52),1)+IF(AND(J53=2,J49=2,C53&gt;G49),1)+IF(AND(J53=2,J50=2,D53&gt;G50),1)+IF(AND(J53=2,J51=2,E53&gt;G51),1)+IF(AND(J53=2,J52=2,F53&gt;G52),1)+IF(AND(J53=3,J49=3,C53&gt;G49),1)+IF(AND(J53=3,J50=3,D53&gt;G50),1)+IF(AND(J53=3,J51=3,E53&gt;G51),1)+IF(AND(J53=3,J52=3,F53&gt;G52),1)</f>
        <v>0</v>
      </c>
      <c r="L53" s="1305">
        <f>IF(AND(J53=1,J49=1),C53-G49)+IF(AND(J53=1,J50=1),D53-G50)+IF(AND(J53=1,J51=1),E53-G51)+IF(AND(J53=1,J52=1),F53-G52)+IF(AND(J53=2,J49=2),C53-G49)+IF(AND(J53=2,J50=2),D53-G50)+IF(AND(J53=2,J51=2),E53-G51)+IF(AND(J53=2,J52=2),F53-G52)+IF(AND(J53=3,J49=3),C53-G49)+IF(AND(J53=3,J50=3),D53-G50)+IF(AND(J53=3,J51=3),E53-G51)+IF(AND(J53=3,J52=3),F53-G52)</f>
        <v>0</v>
      </c>
      <c r="M53" s="515">
        <f t="shared" si="13"/>
        <v>0</v>
      </c>
      <c r="N53" s="668"/>
    </row>
    <row r="54" spans="1:14" s="498" customFormat="1" hidden="1" x14ac:dyDescent="0.2">
      <c r="A54" s="538"/>
      <c r="B54" s="539"/>
      <c r="C54" s="540"/>
      <c r="D54" s="540"/>
      <c r="E54" s="540"/>
      <c r="F54" s="641"/>
      <c r="G54" s="641"/>
      <c r="H54" s="541"/>
      <c r="I54" s="542"/>
      <c r="J54" s="642"/>
      <c r="K54" s="530"/>
      <c r="L54" s="643"/>
      <c r="M54" s="642"/>
      <c r="N54" s="668"/>
    </row>
    <row r="55" spans="1:14" s="506" customFormat="1" hidden="1" x14ac:dyDescent="0.2">
      <c r="A55" s="500" t="s">
        <v>147</v>
      </c>
      <c r="B55" s="501"/>
      <c r="C55" s="502">
        <v>1</v>
      </c>
      <c r="D55" s="502">
        <v>2</v>
      </c>
      <c r="E55" s="502">
        <v>3</v>
      </c>
      <c r="F55" s="502">
        <v>4</v>
      </c>
      <c r="G55" s="502"/>
      <c r="H55" s="501" t="s">
        <v>363</v>
      </c>
      <c r="I55" s="501" t="s">
        <v>26</v>
      </c>
      <c r="J55" s="533" t="s">
        <v>156</v>
      </c>
      <c r="K55" s="504" t="s">
        <v>156</v>
      </c>
      <c r="L55" s="534" t="s">
        <v>364</v>
      </c>
      <c r="M55" s="535" t="b">
        <f>OR(AND(COUNTA(B56:B60)=3,COUNTA(C56:G60)=6),AND(COUNTA(B56:B60)=4,COUNTA(C56:G60)=12),AND(COUNTA(B56:B60)=5,COUNTA(C56:G60)=20))</f>
        <v>0</v>
      </c>
      <c r="N55" s="668"/>
    </row>
    <row r="56" spans="1:14" s="506" customFormat="1" hidden="1" x14ac:dyDescent="0.2">
      <c r="A56" s="500">
        <v>1</v>
      </c>
      <c r="B56" s="508"/>
      <c r="C56" s="509"/>
      <c r="D56" s="510"/>
      <c r="E56" s="510"/>
      <c r="F56" s="510"/>
      <c r="G56" s="510"/>
      <c r="H56" s="511" t="str">
        <f>(IF(D56-C57&gt;0,1)+IF(E56-C58&gt;0,1)+IF(F56-C59&gt;0,1)+IF(G56-C60&gt;0,1))&amp;"-"&amp;(IF(D56-C57&lt;0,1)+IF(E56-C58&lt;0,1)+IF(F56-C59&lt;0,1)+IF(G56-C60&lt;0,1))</f>
        <v>0-0</v>
      </c>
      <c r="I56" s="510" t="str">
        <f>IF(AND(B56&lt;&gt;"",M$56=TRUE),A$56&amp;RANK(M56,M$57:M$61,0),"")</f>
        <v/>
      </c>
      <c r="J56" s="512">
        <f>VALUE(LEFT(H56,1))</f>
        <v>0</v>
      </c>
      <c r="K56" s="513">
        <f>IF(AND(J56=1,J57=1,D56&gt;C57),1)+IF(AND(J56=1,J58=1,E56&gt;C58),1)+IF(AND(J56=1,J59=1,F56&gt;C59),1)+IF(AND(J56=1,J60=1,G56&gt;C60),1)+IF(AND(J56=2,J57=2,D56&gt;C57),1)+IF(AND(J56=2,J58=2,E56&gt;C58),1)+IF(AND(J56=2,J59=2,F56&gt;C59),1)+IF(AND(J56=2,J60=2,G56&gt;C60),1)+IF(AND(J56=3,J57=3,D56&gt;C57),1)+IF(AND(J56=3,J58=3,E56&gt;C58),1)+IF(AND(J56=3,J59=3,F56&gt;C59),1)+IF(AND(J56=3,J60=3,G56&gt;C60),1)</f>
        <v>0</v>
      </c>
      <c r="L56" s="1305">
        <f>IF(AND(J56=1,J57=1),D56-C57)+IF(AND(J56=1,J58=1),E56-C58)+IF(AND(J56=1,J59=1),F56-C59)+IF(AND(J56=1,J60=1),G56-C60)+IF(AND(J56=2,J57=2),D56-C57)+IF(AND(J56=2,J58=2),E56-C58)+IF(AND(J56=2,J59=2),F56-C59)+IF(AND(J56=2,J60=2),G56-C60)+IF(AND(J56=3,J57=3),D56-C57)+IF(AND(J56=3,J58=3),E56-C58)+IF(AND(J56=3,J59=3),F56-C59)+IF(AND(J56=3,J60=3),G56-C60)</f>
        <v>0</v>
      </c>
      <c r="M56" s="515">
        <f>10000*J56+K56*100+L56</f>
        <v>0</v>
      </c>
      <c r="N56" s="668"/>
    </row>
    <row r="57" spans="1:14" s="506" customFormat="1" hidden="1" x14ac:dyDescent="0.2">
      <c r="A57" s="500">
        <v>2</v>
      </c>
      <c r="B57" s="518"/>
      <c r="C57" s="510"/>
      <c r="D57" s="509"/>
      <c r="E57" s="510"/>
      <c r="F57" s="510"/>
      <c r="G57" s="510"/>
      <c r="H57" s="511" t="str">
        <f>(IF(C57-D56&gt;0,1)+IF(E57-D58&gt;0,1)+IF(F57-D59&gt;0,1)+IF(G57-D60&gt;0,1))&amp;"-"&amp;(IF(C57-D56&lt;0,1)+IF(E57-D58&lt;0,1)+IF(F57-D59&lt;0,1)+IF(G57-D60&lt;0,1))</f>
        <v>0-0</v>
      </c>
      <c r="I57" s="510" t="str">
        <f>IF(AND(B57&lt;&gt;"",M$56=TRUE),A$56&amp;RANK(M57,M$57:M$61,0),"")</f>
        <v/>
      </c>
      <c r="J57" s="512">
        <f t="shared" ref="J57:J60" si="14">VALUE(LEFT(H57,1))</f>
        <v>0</v>
      </c>
      <c r="K57" s="639">
        <f>IF(AND(J57=1,J56=1,C57&gt;D56),1)+IF(AND(J57=1,J58=1,E57&gt;D58),1)+IF(AND(J57=1,J59=1,F57&gt;D59),1)+IF(AND(J57=1,J60=1,G57&gt;D60),1)+IF(AND(J57=2,J56=2,C57&gt;D56),1)+IF(AND(J57=2,J58=2,E57&gt;D58),1)+IF(AND(J57=2,J59=2,F57&gt;D59),1)+IF(AND(J57=2,J60=2,G57&gt;D60),1)+IF(AND(J57=3,J56=3,C57&gt;D56),1)+IF(AND(J57=3,J58=3,E57&gt;D58),1)+IF(AND(J57=3,J59=3,F57&gt;D59),1)+IF(AND(J57=3,J60=3,G57&gt;D60),1)</f>
        <v>0</v>
      </c>
      <c r="L57" s="1305">
        <f>IF(AND(J57=1,J56=1),C57-D56)+IF(AND(J57=1,J58=1),E57-D58)+IF(AND(J57=1,J59=1),F57-D59)+IF(AND(J57=1,J60=1),G57-D60)+IF(AND(J57=2,J56=2),C57-D56)+IF(AND(J57=2,J58=2),E57-D58)+IF(AND(J57=2,J59=2),F57-D59)+IF(AND(J57=2,J60=2),G57-D60)+IF(AND(J57=3,J56=3),C57-D56)+IF(AND(J57=3,J58=3),E57-D58)+IF(AND(J57=3,J59=3),F57-D59)+IF(AND(J57=3,J60=3),G57-D60)</f>
        <v>0</v>
      </c>
      <c r="M57" s="515">
        <f t="shared" ref="M57:M60" si="15">10000*J57+K57*100+L57</f>
        <v>0</v>
      </c>
      <c r="N57" s="668"/>
    </row>
    <row r="58" spans="1:14" s="506" customFormat="1" hidden="1" x14ac:dyDescent="0.2">
      <c r="A58" s="500">
        <v>3</v>
      </c>
      <c r="B58" s="518"/>
      <c r="C58" s="510"/>
      <c r="D58" s="520"/>
      <c r="E58" s="509"/>
      <c r="F58" s="510"/>
      <c r="G58" s="510"/>
      <c r="H58" s="511" t="str">
        <f>(IF(C58-E56&gt;0,1)+IF(D58-E57&gt;0,1)+IF(F58-E59&gt;0,1)+IF(G58-E60&gt;0,1))&amp;"-"&amp;(IF(C58-E56&lt;0,1)+IF(D58-E57&lt;0,1)+IF(F58-E59&lt;0,1)+IF(G58-E60&lt;0,1))</f>
        <v>0-0</v>
      </c>
      <c r="I58" s="510" t="str">
        <f>IF(AND(B58&lt;&gt;"",M$56=TRUE),A$56&amp;RANK(M58,M$57:M$61,0),"")</f>
        <v/>
      </c>
      <c r="J58" s="512">
        <f t="shared" si="14"/>
        <v>0</v>
      </c>
      <c r="K58" s="639">
        <f>IF(AND(J58=1,J56=1,C58&gt;E56),1)+IF(AND(J58=1,J57=1,D58&gt;E57),1)+IF(AND(J58=1,J59=1,F58&gt;E59),1)+IF(AND(J58=1,J60=1,G58&gt;E60),1)+IF(AND(J58=2,J56=2,C58&gt;E56),1)+IF(AND(J58=2,J57=2,D58&gt;E57),1)+IF(AND(J58=2,J59=2,F58&gt;E59),1)+IF(AND(J58=2,J60=2,G58&gt;E60),1)+IF(AND(J58=3,J56=3,C58&gt;E56),1)+IF(AND(J58=3,J57=3,D58&gt;E57),1)+IF(AND(J58=3,J59=3,F58&gt;E59),1)+IF(AND(J58=3,J60=3,G58&gt;E60),1)</f>
        <v>0</v>
      </c>
      <c r="L58" s="1305">
        <f>IF(AND(J58=1,J56=1),C58-E56)+IF(AND(J58=1,J57=1),D58-E57)+IF(AND(J58=1,J59=1),F58-E59)+IF(AND(J58=1,J60=1),G58-E60)+IF(AND(J58=2,J56=2),C58-E56)+IF(AND(J58=2,J57=2),D58-E57)+IF(AND(J58=2,J59=2),F58-E59)+IF(AND(J58=2,J60=2),G58-E60)+IF(AND(J58=3,J56=3),C58-E56)+IF(AND(J58=3,J57=3),D58-E57)+IF(AND(J58=3,J59=3),F58-E59)+IF(AND(J58=3,J60=3),G58-E60)</f>
        <v>0</v>
      </c>
      <c r="M58" s="515">
        <f t="shared" si="15"/>
        <v>0</v>
      </c>
      <c r="N58" s="668"/>
    </row>
    <row r="59" spans="1:14" s="506" customFormat="1" hidden="1" x14ac:dyDescent="0.2">
      <c r="A59" s="500">
        <v>4</v>
      </c>
      <c r="B59" s="521"/>
      <c r="C59" s="510"/>
      <c r="D59" s="520"/>
      <c r="E59" s="510"/>
      <c r="F59" s="509"/>
      <c r="G59" s="522"/>
      <c r="H59" s="511" t="str">
        <f>(IF(C59-F56&gt;0,1)+IF(D59-F57&gt;0,1)+IF(E59-F58&gt;0,1)+IF(G59-F60&gt;0,1))&amp;"-"&amp;(IF(C59-F56&lt;0,1)+IF(D59-F57&lt;0,1)+IF(E59-F58&lt;0,1)+IF(G59-F60&lt;0,1))</f>
        <v>0-0</v>
      </c>
      <c r="I59" s="510" t="str">
        <f>IF(AND(B59&lt;&gt;"",M$56=TRUE),A$56&amp;RANK(M59,M$57:M$61,0),"")</f>
        <v/>
      </c>
      <c r="J59" s="512">
        <f t="shared" si="14"/>
        <v>0</v>
      </c>
      <c r="K59" s="639">
        <f>IF(AND(J59=1,J56=1,C59&gt;F56),1)+IF(AND(J59=1,J57=1,D59&gt;F57),1)+IF(AND(J59=1,J58=1,E59&gt;F58),1)+IF(AND(J59=1,J60=1,G59&gt;F60),1)+IF(AND(J59=2,J56=2,C59&gt;F56),1)+IF(AND(J59=2,J57=2,D59&gt;F57),1)+IF(AND(J59=2,J58=2,E59&gt;F58),1)+IF(AND(J59=2,J60=2,G59&gt;F60),1)+IF(AND(J59=3,J56=3,C59&gt;F56),1)+IF(AND(J59=3,J57=3,D59&gt;F57),1)+IF(AND(J59=3,J58=3,E59&gt;F58),1)+IF(AND(J59=3,J60=3,G59&gt;F60),1)</f>
        <v>0</v>
      </c>
      <c r="L59" s="1305">
        <f>IF(AND(J59=1,J56=1),C59-F56)+IF(AND(J59=1,J57=1),D59-F57)+IF(AND(J59=1,J58=1),E59-F58)+IF(AND(J59=1,J60=1),G59-F60)+IF(AND(J59=2,J56=2),C59-F56)+IF(AND(J59=2,J57=2),D59-F57)+IF(AND(J59=2,J58=2),E59-F58)+IF(AND(J59=2,J60=2),G59-F60)+IF(AND(J59=3,J56=3),C59-F56)+IF(AND(J59=3,J57=3),D59-F57)+IF(AND(J59=3,J58=3),E59-F58)+IF(AND(J59=3,J60=3),G59-F60)</f>
        <v>0</v>
      </c>
      <c r="M59" s="515">
        <f t="shared" si="15"/>
        <v>0</v>
      </c>
      <c r="N59" s="668"/>
    </row>
    <row r="60" spans="1:14" s="506" customFormat="1" hidden="1" x14ac:dyDescent="0.2">
      <c r="A60" s="500">
        <v>5</v>
      </c>
      <c r="B60" s="521"/>
      <c r="C60" s="510"/>
      <c r="D60" s="510"/>
      <c r="E60" s="510"/>
      <c r="F60" s="510"/>
      <c r="G60" s="509"/>
      <c r="H60" s="511" t="str">
        <f>(IF(C60-G56&gt;0,1)+IF(D60-G57&gt;0,1)+IF(E60-G58&gt;0,1)+IF(F60-G59&gt;0,1))&amp;"-"&amp;(IF(C60-G56&lt;0,1)+IF(D60-G57&lt;0,1)+IF(E60-G58&lt;0,1)+IF(F60-G59&lt;0,1))</f>
        <v>0-0</v>
      </c>
      <c r="I60" s="510" t="str">
        <f>IF(AND(B60&lt;&gt;"",M$56=TRUE),A$56&amp;RANK(M60,M$57:M$61,0),"")</f>
        <v/>
      </c>
      <c r="J60" s="512">
        <f t="shared" si="14"/>
        <v>0</v>
      </c>
      <c r="K60" s="639">
        <f>IF(AND(J60=1,J56=1,C60&gt;G56),1)+IF(AND(J60=1,J57=1,D60&gt;G57),1)+IF(AND(J60=1,J58=1,E60&gt;G58),1)+IF(AND(J60=1,J59=1,F60&gt;G59),1)+IF(AND(J60=2,J56=2,C60&gt;G56),1)+IF(AND(J60=2,J57=2,D60&gt;G57),1)+IF(AND(J60=2,J58=2,E60&gt;G58),1)+IF(AND(J60=2,J59=2,F60&gt;G59),1)+IF(AND(J60=3,J56=3,C60&gt;G56),1)+IF(AND(J60=3,J57=3,D60&gt;G57),1)+IF(AND(J60=3,J58=3,E60&gt;G58),1)+IF(AND(J60=3,J59=3,F60&gt;G59),1)</f>
        <v>0</v>
      </c>
      <c r="L60" s="1305">
        <f>IF(AND(J60=1,J56=1),C60-G56)+IF(AND(J60=1,J57=1),D60-G57)+IF(AND(J60=1,J58=1),E60-G58)+IF(AND(J60=1,J59=1),F60-G59)+IF(AND(J60=2,J56=2),C60-G56)+IF(AND(J60=2,J57=2),D60-G57)+IF(AND(J60=2,J58=2),E60-G58)+IF(AND(J60=2,J59=2),F60-G59)+IF(AND(J60=3,J56=3),C60-G56)+IF(AND(J60=3,J57=3),D60-G57)+IF(AND(J60=3,J58=3),E60-G58)+IF(AND(J60=3,J59=3),F60-G59)</f>
        <v>0</v>
      </c>
      <c r="M60" s="515">
        <f t="shared" si="15"/>
        <v>0</v>
      </c>
      <c r="N60" s="668"/>
    </row>
    <row r="61" spans="1:14" s="55" customFormat="1" hidden="1" x14ac:dyDescent="0.2">
      <c r="N61" s="668"/>
    </row>
    <row r="62" spans="1:14" s="55" customFormat="1" hidden="1" x14ac:dyDescent="0.2">
      <c r="B62" s="549" t="s">
        <v>16</v>
      </c>
      <c r="C62" s="550" t="s">
        <v>366</v>
      </c>
      <c r="D62" s="550"/>
      <c r="N62" s="668"/>
    </row>
    <row r="63" spans="1:14" s="55" customFormat="1" hidden="1" x14ac:dyDescent="0.2">
      <c r="B63" s="549" t="s">
        <v>17</v>
      </c>
      <c r="C63" s="550" t="s">
        <v>367</v>
      </c>
      <c r="D63" s="506"/>
      <c r="N63" s="668"/>
    </row>
    <row r="64" spans="1:14" s="55" customFormat="1" hidden="1" x14ac:dyDescent="0.2">
      <c r="B64" s="549" t="s">
        <v>18</v>
      </c>
      <c r="C64" s="550" t="s">
        <v>368</v>
      </c>
      <c r="D64" s="506"/>
      <c r="N64" s="668"/>
    </row>
    <row r="65" spans="1:14" s="55" customFormat="1" x14ac:dyDescent="0.2">
      <c r="B65" s="506"/>
      <c r="C65" s="506"/>
      <c r="D65" s="506"/>
      <c r="N65" s="668"/>
    </row>
    <row r="66" spans="1:14" s="55" customFormat="1" x14ac:dyDescent="0.2">
      <c r="B66" s="549" t="s">
        <v>16</v>
      </c>
      <c r="C66" s="550" t="s">
        <v>369</v>
      </c>
      <c r="D66" s="550" t="s">
        <v>367</v>
      </c>
      <c r="N66" s="668"/>
    </row>
    <row r="67" spans="1:14" s="55" customFormat="1" x14ac:dyDescent="0.2">
      <c r="B67" s="549" t="s">
        <v>17</v>
      </c>
      <c r="C67" s="550" t="s">
        <v>366</v>
      </c>
      <c r="D67" s="550" t="s">
        <v>370</v>
      </c>
      <c r="N67" s="668"/>
    </row>
    <row r="68" spans="1:14" s="55" customFormat="1" x14ac:dyDescent="0.2">
      <c r="B68" s="549" t="s">
        <v>18</v>
      </c>
      <c r="C68" s="550" t="s">
        <v>368</v>
      </c>
      <c r="D68" s="550" t="s">
        <v>371</v>
      </c>
      <c r="N68" s="668"/>
    </row>
    <row r="69" spans="1:14" s="55" customFormat="1" hidden="1" x14ac:dyDescent="0.2">
      <c r="B69" s="551"/>
      <c r="C69" s="527"/>
      <c r="D69" s="527"/>
      <c r="N69" s="668"/>
    </row>
    <row r="70" spans="1:14" s="55" customFormat="1" hidden="1" x14ac:dyDescent="0.2">
      <c r="B70" s="549" t="s">
        <v>16</v>
      </c>
      <c r="C70" s="550" t="s">
        <v>372</v>
      </c>
      <c r="D70" s="550" t="s">
        <v>370</v>
      </c>
      <c r="N70" s="668"/>
    </row>
    <row r="71" spans="1:14" s="55" customFormat="1" hidden="1" x14ac:dyDescent="0.2">
      <c r="B71" s="549" t="s">
        <v>17</v>
      </c>
      <c r="C71" s="550" t="s">
        <v>366</v>
      </c>
      <c r="D71" s="550" t="s">
        <v>373</v>
      </c>
      <c r="N71" s="668"/>
    </row>
    <row r="72" spans="1:14" s="55" customFormat="1" hidden="1" x14ac:dyDescent="0.2">
      <c r="B72" s="549" t="s">
        <v>18</v>
      </c>
      <c r="C72" s="550" t="s">
        <v>374</v>
      </c>
      <c r="D72" s="550" t="s">
        <v>371</v>
      </c>
      <c r="N72" s="668"/>
    </row>
    <row r="73" spans="1:14" s="55" customFormat="1" hidden="1" x14ac:dyDescent="0.2">
      <c r="B73" s="549" t="s">
        <v>19</v>
      </c>
      <c r="C73" s="550" t="s">
        <v>375</v>
      </c>
      <c r="D73" s="550" t="s">
        <v>376</v>
      </c>
      <c r="N73" s="668"/>
    </row>
    <row r="74" spans="1:14" s="55" customFormat="1" hidden="1" x14ac:dyDescent="0.2">
      <c r="B74" s="549" t="s">
        <v>20</v>
      </c>
      <c r="C74" s="550" t="s">
        <v>367</v>
      </c>
      <c r="D74" s="550" t="s">
        <v>369</v>
      </c>
      <c r="N74" s="668"/>
    </row>
    <row r="75" spans="1:14" s="55" customFormat="1" hidden="1" x14ac:dyDescent="0.2">
      <c r="A75" s="668"/>
      <c r="B75" s="668"/>
      <c r="C75" s="668"/>
      <c r="D75" s="668"/>
      <c r="E75" s="668"/>
      <c r="F75" s="668"/>
      <c r="G75" s="668"/>
      <c r="H75" s="668"/>
      <c r="I75" s="35"/>
      <c r="J75" s="668"/>
      <c r="K75" s="668"/>
      <c r="L75" s="668"/>
      <c r="M75" s="668"/>
      <c r="N75" s="668"/>
    </row>
    <row r="76" spans="1:14" s="55" customFormat="1" hidden="1" x14ac:dyDescent="0.2">
      <c r="A76" s="668"/>
      <c r="B76" s="668"/>
      <c r="C76" s="668"/>
      <c r="D76" s="668"/>
      <c r="E76" s="668"/>
      <c r="F76" s="668"/>
      <c r="G76" s="668"/>
      <c r="H76" s="668"/>
      <c r="I76" s="35"/>
      <c r="J76" s="668"/>
      <c r="K76" s="668"/>
      <c r="L76" s="668"/>
      <c r="M76" s="668"/>
      <c r="N76" s="668"/>
    </row>
    <row r="77" spans="1:14" s="55" customFormat="1" hidden="1" x14ac:dyDescent="0.2">
      <c r="A77" s="668"/>
      <c r="B77" s="668"/>
      <c r="C77" s="668"/>
      <c r="D77" s="668"/>
      <c r="E77" s="668"/>
      <c r="F77" s="668"/>
      <c r="G77" s="668"/>
      <c r="H77" s="668"/>
      <c r="I77" s="35"/>
      <c r="J77" s="668"/>
      <c r="K77" s="668"/>
      <c r="L77" s="668"/>
      <c r="M77" s="668"/>
      <c r="N77" s="668"/>
    </row>
    <row r="78" spans="1:14" s="55" customFormat="1" hidden="1" x14ac:dyDescent="0.2">
      <c r="A78" s="668"/>
      <c r="B78" s="668"/>
      <c r="C78" s="668"/>
      <c r="D78" s="668"/>
      <c r="E78" s="668"/>
      <c r="F78" s="668"/>
      <c r="G78" s="668"/>
      <c r="H78" s="668"/>
      <c r="I78" s="35"/>
      <c r="J78" s="668"/>
      <c r="K78" s="668"/>
      <c r="L78" s="668"/>
      <c r="M78" s="668"/>
      <c r="N78" s="668"/>
    </row>
    <row r="79" spans="1:14" s="55" customFormat="1" hidden="1" x14ac:dyDescent="0.2">
      <c r="A79" s="668"/>
      <c r="B79" s="668"/>
      <c r="C79" s="668"/>
      <c r="D79" s="668"/>
      <c r="E79" s="668"/>
      <c r="F79" s="668"/>
      <c r="G79" s="668"/>
      <c r="H79" s="668"/>
      <c r="I79" s="35"/>
      <c r="J79" s="668"/>
      <c r="K79" s="668"/>
      <c r="L79" s="668"/>
      <c r="M79" s="668"/>
      <c r="N79" s="668"/>
    </row>
    <row r="80" spans="1:14" s="55" customFormat="1" hidden="1" x14ac:dyDescent="0.2">
      <c r="A80" s="668"/>
      <c r="B80" s="668"/>
      <c r="C80" s="668"/>
      <c r="D80" s="668"/>
      <c r="E80" s="668"/>
      <c r="F80" s="668"/>
      <c r="G80" s="668"/>
      <c r="H80" s="668"/>
      <c r="I80" s="35"/>
      <c r="J80" s="668"/>
      <c r="K80" s="668"/>
      <c r="L80" s="668"/>
      <c r="M80" s="668"/>
      <c r="N80" s="668"/>
    </row>
    <row r="81" spans="1:14" s="55" customFormat="1" hidden="1" x14ac:dyDescent="0.2">
      <c r="A81" s="668"/>
      <c r="B81" s="668"/>
      <c r="C81" s="668"/>
      <c r="D81" s="668"/>
      <c r="E81" s="668"/>
      <c r="F81" s="668"/>
      <c r="G81" s="668"/>
      <c r="H81" s="668"/>
      <c r="I81" s="35"/>
      <c r="J81" s="668"/>
      <c r="K81" s="668"/>
      <c r="L81" s="668"/>
      <c r="M81" s="668"/>
      <c r="N81" s="668"/>
    </row>
    <row r="82" spans="1:14" s="55" customFormat="1" hidden="1" x14ac:dyDescent="0.2">
      <c r="A82" s="668"/>
      <c r="B82" s="668"/>
      <c r="C82" s="668"/>
      <c r="D82" s="668"/>
      <c r="E82" s="668"/>
      <c r="F82" s="668"/>
      <c r="G82" s="668"/>
      <c r="H82" s="668"/>
      <c r="I82" s="35"/>
      <c r="J82" s="668"/>
      <c r="K82" s="668"/>
      <c r="L82" s="668"/>
      <c r="M82" s="668"/>
      <c r="N82" s="668"/>
    </row>
    <row r="83" spans="1:14" s="55" customFormat="1" hidden="1" x14ac:dyDescent="0.2">
      <c r="A83" s="668"/>
      <c r="B83" s="668"/>
      <c r="C83" s="668"/>
      <c r="D83" s="668"/>
      <c r="E83" s="668"/>
      <c r="F83" s="668"/>
      <c r="G83" s="668"/>
      <c r="H83" s="668"/>
      <c r="I83" s="35"/>
      <c r="J83" s="668"/>
      <c r="K83" s="668"/>
      <c r="L83" s="668"/>
      <c r="M83" s="668"/>
      <c r="N83" s="668"/>
    </row>
    <row r="84" spans="1:14" s="55" customFormat="1" hidden="1" x14ac:dyDescent="0.2">
      <c r="A84" s="668"/>
      <c r="B84" s="668"/>
      <c r="C84" s="668"/>
      <c r="D84" s="668"/>
      <c r="E84" s="668"/>
      <c r="F84" s="668"/>
      <c r="G84" s="668"/>
      <c r="H84" s="668"/>
      <c r="I84" s="35"/>
      <c r="J84" s="668"/>
      <c r="K84" s="668"/>
      <c r="L84" s="668"/>
      <c r="M84" s="668"/>
      <c r="N84" s="668"/>
    </row>
    <row r="85" spans="1:14" s="55" customFormat="1" hidden="1" x14ac:dyDescent="0.2">
      <c r="A85" s="668"/>
      <c r="B85" s="668"/>
      <c r="C85" s="668"/>
      <c r="D85" s="668"/>
      <c r="E85" s="668"/>
      <c r="F85" s="668"/>
      <c r="G85" s="668"/>
      <c r="H85" s="668"/>
      <c r="I85" s="35"/>
      <c r="J85" s="668"/>
      <c r="K85" s="668"/>
      <c r="L85" s="668"/>
      <c r="M85" s="668"/>
      <c r="N85" s="668"/>
    </row>
    <row r="86" spans="1:14" s="55" customFormat="1" hidden="1" x14ac:dyDescent="0.2">
      <c r="A86" s="668"/>
      <c r="B86" s="668"/>
      <c r="C86" s="668"/>
      <c r="D86" s="668"/>
      <c r="E86" s="668"/>
      <c r="F86" s="668"/>
      <c r="G86" s="668"/>
      <c r="H86" s="668"/>
      <c r="I86" s="35"/>
      <c r="J86" s="668"/>
      <c r="K86" s="668"/>
      <c r="L86" s="668"/>
      <c r="M86" s="668"/>
      <c r="N86" s="668"/>
    </row>
    <row r="87" spans="1:14" s="55" customFormat="1" hidden="1" x14ac:dyDescent="0.2">
      <c r="A87" s="668"/>
      <c r="B87" s="668"/>
      <c r="C87" s="668"/>
      <c r="D87" s="668"/>
      <c r="E87" s="668"/>
      <c r="F87" s="668"/>
      <c r="G87" s="668"/>
      <c r="H87" s="668"/>
      <c r="I87" s="35"/>
      <c r="J87" s="668"/>
      <c r="K87" s="668"/>
      <c r="L87" s="668"/>
      <c r="M87" s="668"/>
      <c r="N87" s="668"/>
    </row>
    <row r="88" spans="1:14" s="55" customFormat="1" hidden="1" x14ac:dyDescent="0.2">
      <c r="A88" s="668"/>
      <c r="B88" s="668"/>
      <c r="C88" s="668"/>
      <c r="D88" s="668"/>
      <c r="E88" s="668"/>
      <c r="F88" s="668"/>
      <c r="G88" s="668"/>
      <c r="H88" s="668"/>
      <c r="I88" s="35"/>
      <c r="J88" s="668"/>
      <c r="K88" s="668"/>
      <c r="L88" s="668"/>
      <c r="M88" s="668"/>
      <c r="N88" s="668"/>
    </row>
    <row r="89" spans="1:14" s="55" customFormat="1" hidden="1" x14ac:dyDescent="0.2">
      <c r="A89" s="668"/>
      <c r="B89" s="668"/>
      <c r="C89" s="668"/>
      <c r="D89" s="668"/>
      <c r="E89" s="668"/>
      <c r="F89" s="668"/>
      <c r="G89" s="668"/>
      <c r="H89" s="668"/>
      <c r="I89" s="35"/>
      <c r="J89" s="668"/>
      <c r="K89" s="668"/>
      <c r="L89" s="668"/>
      <c r="M89" s="668"/>
      <c r="N89" s="668"/>
    </row>
    <row r="90" spans="1:14" s="55" customFormat="1" hidden="1" x14ac:dyDescent="0.2">
      <c r="A90" s="668"/>
      <c r="B90" s="668"/>
      <c r="C90" s="668"/>
      <c r="D90" s="668"/>
      <c r="E90" s="668"/>
      <c r="F90" s="668"/>
      <c r="G90" s="668"/>
      <c r="H90" s="668"/>
      <c r="I90" s="35"/>
      <c r="J90" s="668"/>
      <c r="K90" s="668"/>
      <c r="L90" s="668"/>
      <c r="M90" s="668"/>
      <c r="N90" s="668"/>
    </row>
    <row r="91" spans="1:14" s="55" customFormat="1" hidden="1" x14ac:dyDescent="0.2">
      <c r="A91" s="668"/>
      <c r="B91" s="668"/>
      <c r="C91" s="668"/>
      <c r="D91" s="668"/>
      <c r="E91" s="668"/>
      <c r="F91" s="668"/>
      <c r="G91" s="668"/>
      <c r="H91" s="668"/>
      <c r="I91" s="35"/>
      <c r="J91" s="668"/>
      <c r="K91" s="668"/>
      <c r="L91" s="668"/>
      <c r="M91" s="668"/>
      <c r="N91" s="668"/>
    </row>
    <row r="92" spans="1:14" s="55" customFormat="1" hidden="1" x14ac:dyDescent="0.2">
      <c r="A92" s="668"/>
      <c r="B92" s="668"/>
      <c r="C92" s="668"/>
      <c r="D92" s="668"/>
      <c r="E92" s="668"/>
      <c r="F92" s="668"/>
      <c r="G92" s="668"/>
      <c r="H92" s="668"/>
      <c r="I92" s="35"/>
      <c r="J92" s="668"/>
      <c r="K92" s="668"/>
      <c r="L92" s="668"/>
      <c r="M92" s="668"/>
      <c r="N92" s="668"/>
    </row>
    <row r="93" spans="1:14" s="55" customFormat="1" hidden="1" x14ac:dyDescent="0.2">
      <c r="A93" s="668"/>
      <c r="B93" s="668"/>
      <c r="C93" s="668"/>
      <c r="D93" s="668"/>
      <c r="E93" s="668"/>
      <c r="F93" s="668"/>
      <c r="G93" s="668"/>
      <c r="H93" s="668"/>
      <c r="I93" s="35"/>
      <c r="J93" s="668"/>
      <c r="K93" s="668"/>
      <c r="L93" s="668"/>
      <c r="M93" s="668"/>
      <c r="N93" s="668"/>
    </row>
    <row r="94" spans="1:14" s="55" customFormat="1" hidden="1" x14ac:dyDescent="0.2">
      <c r="A94" s="668"/>
      <c r="B94" s="668"/>
      <c r="C94" s="668"/>
      <c r="D94" s="668"/>
      <c r="E94" s="668"/>
      <c r="F94" s="668"/>
      <c r="G94" s="668"/>
      <c r="H94" s="668"/>
      <c r="I94" s="35"/>
      <c r="J94" s="668"/>
      <c r="K94" s="668"/>
      <c r="L94" s="668"/>
      <c r="M94" s="668"/>
      <c r="N94" s="668"/>
    </row>
    <row r="95" spans="1:14" s="552" customFormat="1" hidden="1" x14ac:dyDescent="0.2">
      <c r="A95" s="668"/>
      <c r="B95" s="668"/>
      <c r="C95" s="668"/>
      <c r="D95" s="668"/>
      <c r="E95" s="668"/>
      <c r="F95" s="668"/>
      <c r="G95" s="668"/>
      <c r="H95" s="668"/>
      <c r="I95" s="35"/>
      <c r="J95" s="668"/>
      <c r="K95" s="668"/>
      <c r="L95" s="668"/>
      <c r="M95" s="668"/>
      <c r="N95" s="668"/>
    </row>
    <row r="96" spans="1:14" hidden="1" x14ac:dyDescent="0.2">
      <c r="A96" s="668"/>
      <c r="B96" s="668"/>
      <c r="C96" s="668"/>
      <c r="D96" s="668"/>
      <c r="E96" s="668"/>
      <c r="F96" s="668"/>
      <c r="G96" s="668"/>
      <c r="H96" s="668"/>
      <c r="I96" s="35"/>
      <c r="J96" s="668"/>
      <c r="K96" s="668"/>
      <c r="L96" s="668"/>
      <c r="M96" s="668"/>
      <c r="N96" s="668"/>
    </row>
    <row r="97" spans="1:14" hidden="1" x14ac:dyDescent="0.2">
      <c r="A97" s="668"/>
      <c r="B97" s="668"/>
      <c r="C97" s="668"/>
      <c r="D97" s="668"/>
      <c r="E97" s="668"/>
      <c r="F97" s="668"/>
      <c r="G97" s="668"/>
      <c r="H97" s="668"/>
      <c r="I97" s="35"/>
      <c r="J97" s="668"/>
      <c r="K97" s="668"/>
      <c r="L97" s="668"/>
      <c r="M97" s="668"/>
      <c r="N97" s="668"/>
    </row>
    <row r="98" spans="1:14" x14ac:dyDescent="0.2">
      <c r="A98" s="668"/>
      <c r="B98" s="668"/>
      <c r="C98" s="668"/>
      <c r="D98" s="668"/>
      <c r="E98" s="668"/>
      <c r="F98" s="668"/>
      <c r="G98" s="668"/>
      <c r="H98" s="668"/>
      <c r="I98" s="35"/>
      <c r="J98" s="668"/>
      <c r="K98" s="668"/>
      <c r="L98" s="668"/>
      <c r="M98" s="668"/>
      <c r="N98" s="668"/>
    </row>
    <row r="99" spans="1:14" x14ac:dyDescent="0.2">
      <c r="A99" s="553" t="s">
        <v>498</v>
      </c>
      <c r="B99" s="554"/>
      <c r="C99" s="525"/>
      <c r="D99" s="525"/>
      <c r="E99" s="525"/>
      <c r="F99" s="527"/>
      <c r="G99" s="550"/>
      <c r="H99" s="55"/>
      <c r="I99" s="35"/>
      <c r="J99" s="668"/>
      <c r="K99" s="668"/>
      <c r="L99" s="32"/>
      <c r="M99" s="668"/>
      <c r="N99" s="668"/>
    </row>
    <row r="100" spans="1:14" x14ac:dyDescent="0.2">
      <c r="A100" s="55"/>
      <c r="B100" s="55"/>
      <c r="C100" s="55"/>
      <c r="D100" s="55"/>
      <c r="E100" s="55"/>
      <c r="F100" s="55"/>
      <c r="G100" s="55"/>
      <c r="H100" s="55"/>
      <c r="I100" s="35"/>
      <c r="J100" s="668"/>
      <c r="K100" s="668"/>
      <c r="M100" s="668"/>
      <c r="N100" s="668"/>
    </row>
    <row r="101" spans="1:14" x14ac:dyDescent="0.2">
      <c r="A101" s="555" t="s">
        <v>382</v>
      </c>
      <c r="B101" s="556" t="str">
        <f>IFERROR(INDEX(B$1:B$100,MATCH(A101,I$1:I$100,0)),"")</f>
        <v>Mait Metsla, Enn Tokman</v>
      </c>
      <c r="C101" s="557">
        <v>10</v>
      </c>
      <c r="D101" s="55"/>
      <c r="E101" s="55"/>
      <c r="F101" s="55"/>
      <c r="G101" s="55"/>
      <c r="H101" s="55"/>
      <c r="I101" s="35"/>
      <c r="J101" s="668"/>
      <c r="K101" s="668"/>
      <c r="M101" s="668"/>
      <c r="N101" s="668"/>
    </row>
    <row r="102" spans="1:14" x14ac:dyDescent="0.2">
      <c r="A102" s="558"/>
      <c r="B102" s="644"/>
      <c r="C102" s="560" t="str">
        <f>IF(COUNT(C101,C103)=2,IF(C101&gt;C103,B101,B103),"")</f>
        <v>Mait Metsla, Enn Tokman</v>
      </c>
      <c r="D102" s="55"/>
      <c r="E102" s="557">
        <v>2</v>
      </c>
      <c r="F102" s="55"/>
      <c r="G102" s="55"/>
      <c r="H102" s="55"/>
      <c r="I102" s="55"/>
      <c r="J102" s="668"/>
      <c r="K102" s="668"/>
      <c r="L102" s="32"/>
      <c r="M102" s="668"/>
      <c r="N102" s="668"/>
    </row>
    <row r="103" spans="1:14" x14ac:dyDescent="0.2">
      <c r="A103" s="558" t="s">
        <v>384</v>
      </c>
      <c r="B103" s="561" t="str">
        <f>IFERROR(INDEX(B$1:B$100,MATCH(A103,I$1:I$100,0)),"")</f>
        <v>Tõnu Kapper, Vladimir Ogneštšikov</v>
      </c>
      <c r="C103" s="562">
        <v>9</v>
      </c>
      <c r="D103" s="645"/>
      <c r="E103" s="55"/>
      <c r="F103" s="55"/>
      <c r="G103" s="55"/>
      <c r="H103" s="55"/>
      <c r="I103" s="55"/>
      <c r="J103" s="668"/>
      <c r="K103" s="668"/>
      <c r="M103" s="668"/>
      <c r="N103" s="668"/>
    </row>
    <row r="104" spans="1:14" x14ac:dyDescent="0.2">
      <c r="A104" s="558"/>
      <c r="B104" s="539"/>
      <c r="C104" s="55"/>
      <c r="D104" s="564"/>
      <c r="E104" s="560" t="str">
        <f>IF(COUNT(E102,E106)=2,IF(E102&gt;E106,C102,C106),"")</f>
        <v>Ivar Viljaste, Kristo Viljaste</v>
      </c>
      <c r="F104" s="55"/>
      <c r="G104" s="557">
        <v>13</v>
      </c>
      <c r="H104" s="55"/>
      <c r="I104" s="55"/>
      <c r="J104" s="668"/>
      <c r="K104" s="668"/>
      <c r="M104" s="668"/>
      <c r="N104" s="668"/>
    </row>
    <row r="105" spans="1:14" x14ac:dyDescent="0.2">
      <c r="A105" s="558" t="s">
        <v>378</v>
      </c>
      <c r="B105" s="556" t="str">
        <f>IFERROR(INDEX(B$1:B$100,MATCH(A105,I$1:I$100,0)),"")</f>
        <v>Ivar Viljaste, Kristo Viljaste</v>
      </c>
      <c r="C105" s="557">
        <f>IF(B105="-",0,IF(B107="-",13,""))</f>
        <v>13</v>
      </c>
      <c r="D105" s="564"/>
      <c r="E105" s="565"/>
      <c r="F105" s="645"/>
      <c r="G105" s="55"/>
      <c r="H105" s="55"/>
      <c r="I105" s="55"/>
      <c r="J105" s="668"/>
      <c r="K105" s="668"/>
      <c r="M105" s="668"/>
      <c r="N105" s="668"/>
    </row>
    <row r="106" spans="1:14" x14ac:dyDescent="0.2">
      <c r="A106" s="558"/>
      <c r="B106" s="644"/>
      <c r="C106" s="560" t="str">
        <f>IF(COUNT(C105,C107)=2,IF(C105&gt;C107,B105,B107),"")</f>
        <v>Ivar Viljaste, Kristo Viljaste</v>
      </c>
      <c r="D106" s="566"/>
      <c r="E106" s="562">
        <v>13</v>
      </c>
      <c r="F106" s="564"/>
      <c r="G106" s="55"/>
      <c r="H106" s="55"/>
      <c r="I106" s="55"/>
      <c r="J106" s="668"/>
      <c r="K106" s="668"/>
      <c r="L106" s="32"/>
      <c r="M106" s="668"/>
      <c r="N106" s="668"/>
    </row>
    <row r="107" spans="1:14" x14ac:dyDescent="0.2">
      <c r="A107" s="558" t="s">
        <v>31</v>
      </c>
      <c r="B107" s="561" t="s">
        <v>31</v>
      </c>
      <c r="C107" s="562">
        <f>IF(B107="-",0,IF(B105="-",13,""))</f>
        <v>0</v>
      </c>
      <c r="D107" s="55"/>
      <c r="E107" s="554"/>
      <c r="F107" s="564"/>
      <c r="G107" s="55"/>
      <c r="H107" s="55"/>
      <c r="I107" s="55"/>
      <c r="J107" s="668"/>
      <c r="K107" s="668"/>
      <c r="M107" s="668"/>
      <c r="N107" s="668"/>
    </row>
    <row r="108" spans="1:14" ht="13.5" thickBot="1" x14ac:dyDescent="0.25">
      <c r="A108" s="538"/>
      <c r="B108" s="539"/>
      <c r="C108" s="55"/>
      <c r="D108" s="55"/>
      <c r="E108" s="554"/>
      <c r="F108" s="564"/>
      <c r="G108" s="55"/>
      <c r="H108" s="567" t="str">
        <f>IF(COUNT(G104,G112)=2,IF(G104&gt;G112,E104,E112),"")</f>
        <v>Ivar Viljaste, Kristo Viljaste</v>
      </c>
      <c r="I108" s="55"/>
      <c r="J108" s="668"/>
      <c r="K108" s="668"/>
      <c r="L108" s="32"/>
      <c r="M108" s="668"/>
      <c r="N108" s="668"/>
    </row>
    <row r="109" spans="1:14" x14ac:dyDescent="0.2">
      <c r="A109" s="555" t="s">
        <v>380</v>
      </c>
      <c r="B109" s="556" t="str">
        <f>IFERROR(INDEX(B$1:B$100,MATCH(A109,I$1:I$100,0)),"")</f>
        <v>Elmo Lageda, Tõnu Piik</v>
      </c>
      <c r="C109" s="557">
        <f>IF(B109="-",0,IF(B111="-",13,""))</f>
        <v>13</v>
      </c>
      <c r="D109" s="55"/>
      <c r="E109" s="55"/>
      <c r="F109" s="564"/>
      <c r="G109" s="568"/>
      <c r="H109" s="569" t="s">
        <v>383</v>
      </c>
      <c r="I109" s="570"/>
      <c r="J109" s="668"/>
      <c r="K109" s="668"/>
      <c r="L109" s="32"/>
      <c r="M109" s="668"/>
      <c r="N109" s="668"/>
    </row>
    <row r="110" spans="1:14" x14ac:dyDescent="0.2">
      <c r="A110" s="558"/>
      <c r="B110" s="644"/>
      <c r="C110" s="560" t="str">
        <f>IF(COUNT(C109,C111)=2,IF(C109&gt;C111,B109,B111),"")</f>
        <v>Elmo Lageda, Tõnu Piik</v>
      </c>
      <c r="D110" s="55"/>
      <c r="E110" s="557">
        <v>1</v>
      </c>
      <c r="F110" s="564"/>
      <c r="G110" s="554"/>
      <c r="H110" s="55"/>
      <c r="I110" s="55"/>
      <c r="J110" s="668"/>
      <c r="K110" s="668"/>
      <c r="L110" s="32"/>
      <c r="M110" s="668"/>
      <c r="N110" s="668"/>
    </row>
    <row r="111" spans="1:14" x14ac:dyDescent="0.2">
      <c r="A111" s="558" t="s">
        <v>31</v>
      </c>
      <c r="B111" s="561" t="s">
        <v>31</v>
      </c>
      <c r="C111" s="562">
        <f>IF(B111="-",0,IF(B109="-",13,""))</f>
        <v>0</v>
      </c>
      <c r="D111" s="645"/>
      <c r="E111" s="55"/>
      <c r="F111" s="564"/>
      <c r="G111" s="554"/>
      <c r="H111" s="55"/>
      <c r="I111" s="55"/>
      <c r="J111" s="668"/>
      <c r="K111" s="668"/>
      <c r="L111" s="32"/>
      <c r="M111" s="668"/>
      <c r="N111" s="668"/>
    </row>
    <row r="112" spans="1:14" x14ac:dyDescent="0.2">
      <c r="A112" s="558"/>
      <c r="B112" s="539"/>
      <c r="C112" s="55"/>
      <c r="D112" s="564"/>
      <c r="E112" s="560" t="str">
        <f>IF(COUNT(E110,E114)=2,IF(E110&gt;E114,C110,C114),"")</f>
        <v>Aarne Välja, Janek Tarto</v>
      </c>
      <c r="F112" s="566"/>
      <c r="G112" s="562">
        <v>2</v>
      </c>
      <c r="H112" s="55"/>
      <c r="I112" s="55"/>
      <c r="J112" s="668"/>
      <c r="K112" s="668"/>
      <c r="L112" s="32"/>
      <c r="M112" s="668"/>
      <c r="N112" s="668"/>
    </row>
    <row r="113" spans="1:14" ht="13.5" thickBot="1" x14ac:dyDescent="0.25">
      <c r="A113" s="558" t="s">
        <v>381</v>
      </c>
      <c r="B113" s="556" t="str">
        <f>IFERROR(INDEX(B$1:B$100,MATCH(A113,I$1:I$100,0)),"")</f>
        <v>Johannes Neiland, Boriss Klubov</v>
      </c>
      <c r="C113" s="557">
        <v>7</v>
      </c>
      <c r="D113" s="564"/>
      <c r="E113" s="565"/>
      <c r="F113" s="554"/>
      <c r="G113" s="554"/>
      <c r="H113" s="567" t="str">
        <f>IF(COUNT(G104,G112)=2,IF(G104&lt;G112,E104,E112),"")</f>
        <v>Aarne Välja, Janek Tarto</v>
      </c>
      <c r="I113" s="571"/>
      <c r="J113" s="668"/>
      <c r="K113" s="668"/>
      <c r="L113" s="32"/>
      <c r="M113" s="668"/>
      <c r="N113" s="668"/>
    </row>
    <row r="114" spans="1:14" x14ac:dyDescent="0.2">
      <c r="A114" s="558"/>
      <c r="B114" s="644"/>
      <c r="C114" s="560" t="str">
        <f>IF(COUNT(C113,C115)=2,IF(C113&gt;C115,B113,B115),"")</f>
        <v>Aarne Välja, Janek Tarto</v>
      </c>
      <c r="D114" s="566"/>
      <c r="E114" s="562">
        <v>13</v>
      </c>
      <c r="F114" s="55"/>
      <c r="G114" s="554"/>
      <c r="H114" s="569" t="s">
        <v>386</v>
      </c>
      <c r="I114" s="554"/>
      <c r="J114" s="668"/>
      <c r="K114" s="668"/>
      <c r="M114" s="668"/>
      <c r="N114" s="668"/>
    </row>
    <row r="115" spans="1:14" x14ac:dyDescent="0.2">
      <c r="A115" s="558" t="s">
        <v>385</v>
      </c>
      <c r="B115" s="561" t="str">
        <f>IFERROR(INDEX(B$1:B$100,MATCH(A115,I$1:I$100,0)),"")</f>
        <v>Aarne Välja, Janek Tarto</v>
      </c>
      <c r="C115" s="562">
        <v>13</v>
      </c>
      <c r="D115" s="55"/>
      <c r="E115" s="554"/>
      <c r="F115" s="554"/>
      <c r="G115" s="554"/>
      <c r="H115" s="55"/>
      <c r="I115" s="55"/>
      <c r="J115" s="668"/>
      <c r="K115" s="668"/>
      <c r="M115" s="668"/>
      <c r="N115" s="668"/>
    </row>
    <row r="116" spans="1:14" x14ac:dyDescent="0.2">
      <c r="A116" s="538"/>
      <c r="B116" s="539"/>
      <c r="C116" s="55"/>
      <c r="D116" s="55"/>
      <c r="E116" s="551" t="str">
        <f>IF(COUNT(E102,E106)=2,IF(E102&lt;E106,C102,C106),"")</f>
        <v>Mait Metsla, Enn Tokman</v>
      </c>
      <c r="F116" s="55"/>
      <c r="G116" s="557">
        <v>8</v>
      </c>
      <c r="H116" s="55"/>
      <c r="I116" s="55"/>
      <c r="J116" s="668"/>
      <c r="K116" s="668"/>
      <c r="L116" s="668"/>
      <c r="M116" s="668"/>
      <c r="N116" s="668"/>
    </row>
    <row r="117" spans="1:14" ht="13.5" thickBot="1" x14ac:dyDescent="0.25">
      <c r="A117" s="55"/>
      <c r="B117" s="55"/>
      <c r="C117" s="55"/>
      <c r="D117" s="55"/>
      <c r="E117" s="646"/>
      <c r="F117" s="645"/>
      <c r="G117" s="571"/>
      <c r="H117" s="567" t="str">
        <f>IF(COUNT(G116,G118)=2,IF(G116&gt;G118,E116,E118),"")</f>
        <v>Elmo Lageda, Tõnu Piik</v>
      </c>
      <c r="I117" s="571"/>
      <c r="J117" s="668"/>
      <c r="K117" s="668"/>
      <c r="L117" s="668"/>
      <c r="M117" s="668"/>
      <c r="N117" s="668"/>
    </row>
    <row r="118" spans="1:14" x14ac:dyDescent="0.2">
      <c r="A118" s="55"/>
      <c r="B118" s="55"/>
      <c r="C118" s="55"/>
      <c r="D118" s="55"/>
      <c r="E118" s="572" t="str">
        <f>IF(COUNT(E110,E114)=2,IF(E110&lt;E114,C110,C114),"")</f>
        <v>Elmo Lageda, Tõnu Piik</v>
      </c>
      <c r="F118" s="566"/>
      <c r="G118" s="562">
        <v>13</v>
      </c>
      <c r="H118" s="523" t="s">
        <v>388</v>
      </c>
      <c r="I118" s="554"/>
      <c r="J118" s="668"/>
      <c r="K118" s="668"/>
      <c r="L118" s="668"/>
      <c r="M118" s="668"/>
      <c r="N118" s="668"/>
    </row>
    <row r="119" spans="1:14" x14ac:dyDescent="0.2">
      <c r="A119" s="55"/>
      <c r="B119" s="55"/>
      <c r="C119" s="55"/>
      <c r="D119" s="55"/>
      <c r="E119" s="55"/>
      <c r="F119" s="55"/>
      <c r="G119" s="55"/>
      <c r="H119" s="554"/>
      <c r="I119" s="554"/>
      <c r="J119" s="668"/>
      <c r="K119" s="668"/>
      <c r="L119" s="668"/>
      <c r="M119" s="668"/>
      <c r="N119" s="668"/>
    </row>
    <row r="120" spans="1:14" ht="13.5" thickBot="1" x14ac:dyDescent="0.25">
      <c r="A120" s="55"/>
      <c r="B120" s="55"/>
      <c r="C120" s="55"/>
      <c r="D120" s="55"/>
      <c r="E120" s="554"/>
      <c r="F120" s="554"/>
      <c r="G120" s="55"/>
      <c r="H120" s="567" t="str">
        <f>IF(COUNT(G116,G118)=2,IF(G116&lt;G118,E116,E118),"")</f>
        <v>Mait Metsla, Enn Tokman</v>
      </c>
      <c r="I120" s="571"/>
      <c r="J120" s="668"/>
      <c r="K120" s="668"/>
      <c r="L120" s="668"/>
      <c r="M120" s="668"/>
      <c r="N120" s="668"/>
    </row>
    <row r="121" spans="1:14" x14ac:dyDescent="0.2">
      <c r="A121" s="55"/>
      <c r="B121" s="55"/>
      <c r="C121" s="55"/>
      <c r="D121" s="55"/>
      <c r="E121" s="55"/>
      <c r="F121" s="55"/>
      <c r="G121" s="55"/>
      <c r="H121" s="538" t="s">
        <v>389</v>
      </c>
      <c r="I121" s="55"/>
      <c r="J121" s="668"/>
      <c r="K121" s="668"/>
      <c r="L121" s="668"/>
      <c r="M121" s="668"/>
      <c r="N121" s="668"/>
    </row>
    <row r="122" spans="1:14" x14ac:dyDescent="0.2">
      <c r="A122" s="55"/>
      <c r="B122" s="55"/>
      <c r="C122" s="572" t="str">
        <f>IF(COUNT(C101,C103)=2,IF(C101&lt;C103,B101,B103),"")</f>
        <v>Tõnu Kapper, Vladimir Ogneštšikov</v>
      </c>
      <c r="D122" s="55"/>
      <c r="E122" s="557">
        <f>IF(C122="-",0,IF(C124="-",13,""))</f>
        <v>13</v>
      </c>
      <c r="F122" s="557"/>
      <c r="G122" s="557"/>
      <c r="H122" s="55"/>
      <c r="I122" s="55"/>
      <c r="J122" s="668"/>
      <c r="K122" s="668"/>
      <c r="L122" s="668"/>
      <c r="M122" s="668"/>
      <c r="N122" s="668"/>
    </row>
    <row r="123" spans="1:14" x14ac:dyDescent="0.2">
      <c r="A123" s="55"/>
      <c r="B123" s="55"/>
      <c r="C123" s="647"/>
      <c r="D123" s="648"/>
      <c r="E123" s="560" t="str">
        <f>IF(COUNT(E122,E124)=2,IF(E122&gt;E124,C122,C124),"")</f>
        <v>Tõnu Kapper, Vladimir Ogneštšikov</v>
      </c>
      <c r="F123" s="55"/>
      <c r="G123" s="651">
        <v>8</v>
      </c>
      <c r="H123" s="55"/>
      <c r="I123" s="55"/>
      <c r="J123" s="668"/>
      <c r="K123" s="668"/>
      <c r="L123" s="668"/>
      <c r="M123" s="668"/>
      <c r="N123" s="668"/>
    </row>
    <row r="124" spans="1:14" x14ac:dyDescent="0.2">
      <c r="A124" s="55"/>
      <c r="B124" s="55"/>
      <c r="C124" s="572" t="str">
        <f>IF(COUNT(C105,C107)=2,IF(C105&lt;C107,B105,B107),"")</f>
        <v>-</v>
      </c>
      <c r="D124" s="574"/>
      <c r="E124" s="562">
        <f>IF(C124="-",0,IF(C122="-",13,""))</f>
        <v>0</v>
      </c>
      <c r="F124" s="648"/>
      <c r="G124" s="557"/>
      <c r="H124" s="55"/>
      <c r="I124" s="55"/>
      <c r="J124" s="668"/>
      <c r="K124" s="668"/>
      <c r="L124" s="668"/>
      <c r="M124" s="668"/>
      <c r="N124" s="668"/>
    </row>
    <row r="125" spans="1:14" ht="13.5" thickBot="1" x14ac:dyDescent="0.25">
      <c r="A125" s="55"/>
      <c r="B125" s="55"/>
      <c r="C125" s="557"/>
      <c r="D125" s="557"/>
      <c r="E125" s="55"/>
      <c r="F125" s="576"/>
      <c r="G125" s="557"/>
      <c r="H125" s="567" t="str">
        <f>IF(COUNT(G123,G127)=2,IF(G123&gt;G127,E123,E127),"")</f>
        <v>Johannes Neiland, Boriss Klubov</v>
      </c>
      <c r="I125" s="55"/>
      <c r="J125" s="668"/>
      <c r="K125" s="668"/>
      <c r="L125" s="668"/>
      <c r="M125" s="668"/>
      <c r="N125" s="668"/>
    </row>
    <row r="126" spans="1:14" x14ac:dyDescent="0.2">
      <c r="A126" s="55"/>
      <c r="B126" s="55"/>
      <c r="C126" s="572" t="str">
        <f>IF(COUNT(C109,C111)=2,IF(C109&lt;C111,B109,B111),"")</f>
        <v>-</v>
      </c>
      <c r="D126" s="557"/>
      <c r="E126" s="557">
        <f>IF(C126="-",0,IF(C128="-",13,""))</f>
        <v>0</v>
      </c>
      <c r="F126" s="576"/>
      <c r="G126" s="577"/>
      <c r="H126" s="569" t="s">
        <v>390</v>
      </c>
      <c r="I126" s="570"/>
      <c r="J126" s="668"/>
      <c r="K126" s="668"/>
      <c r="L126" s="668"/>
      <c r="M126" s="668"/>
      <c r="N126" s="668"/>
    </row>
    <row r="127" spans="1:14" x14ac:dyDescent="0.2">
      <c r="A127" s="55"/>
      <c r="B127" s="55"/>
      <c r="C127" s="647"/>
      <c r="D127" s="648"/>
      <c r="E127" s="560" t="str">
        <f>IF(COUNT(E126,E128)=2,IF(E126&gt;E128,C126,C128),"")</f>
        <v>Johannes Neiland, Boriss Klubov</v>
      </c>
      <c r="F127" s="566"/>
      <c r="G127" s="562">
        <v>13</v>
      </c>
      <c r="H127" s="55"/>
      <c r="I127" s="55"/>
      <c r="J127" s="668"/>
      <c r="K127" s="668"/>
      <c r="L127" s="668"/>
      <c r="M127" s="668"/>
      <c r="N127" s="668"/>
    </row>
    <row r="128" spans="1:14" ht="13.5" thickBot="1" x14ac:dyDescent="0.25">
      <c r="A128" s="55"/>
      <c r="B128" s="55"/>
      <c r="C128" s="572" t="str">
        <f>IF(COUNT(C113,C115)=2,IF(C113&lt;C115,B113,B115),"")</f>
        <v>Johannes Neiland, Boriss Klubov</v>
      </c>
      <c r="D128" s="574"/>
      <c r="E128" s="562">
        <f>IF(C128="-",0,IF(C126="-",13,""))</f>
        <v>13</v>
      </c>
      <c r="F128" s="557"/>
      <c r="G128" s="575"/>
      <c r="H128" s="567" t="str">
        <f>IF(COUNT(G123,G127)=2,IF(G123&lt;G127,E123,E127),"")</f>
        <v>Tõnu Kapper, Vladimir Ogneštšikov</v>
      </c>
      <c r="I128" s="571"/>
      <c r="J128" s="668"/>
      <c r="K128" s="668"/>
      <c r="L128" s="668"/>
      <c r="M128" s="668"/>
      <c r="N128" s="668"/>
    </row>
    <row r="129" spans="1:14" x14ac:dyDescent="0.2">
      <c r="A129" s="55"/>
      <c r="B129" s="55"/>
      <c r="C129" s="557"/>
      <c r="D129" s="557"/>
      <c r="E129" s="557"/>
      <c r="F129" s="557"/>
      <c r="G129" s="575"/>
      <c r="H129" s="569" t="s">
        <v>391</v>
      </c>
      <c r="I129" s="554"/>
      <c r="J129" s="668"/>
      <c r="K129" s="668"/>
      <c r="L129" s="668"/>
      <c r="M129" s="668"/>
      <c r="N129" s="668"/>
    </row>
    <row r="130" spans="1:14" x14ac:dyDescent="0.2">
      <c r="A130" s="55"/>
      <c r="B130" s="55"/>
      <c r="C130" s="557"/>
      <c r="D130" s="575"/>
      <c r="E130" s="551" t="str">
        <f>IF(COUNT(E122,E124)=2,IF(E122&lt;E124,C122,C124),"")</f>
        <v>-</v>
      </c>
      <c r="F130" s="55"/>
      <c r="G130" s="557">
        <v>13</v>
      </c>
      <c r="H130" s="554"/>
      <c r="I130" s="554"/>
      <c r="J130" s="668"/>
      <c r="K130" s="668"/>
      <c r="L130" s="668"/>
      <c r="M130" s="668"/>
      <c r="N130" s="668"/>
    </row>
    <row r="131" spans="1:14" ht="13.5" thickBot="1" x14ac:dyDescent="0.25">
      <c r="A131" s="55"/>
      <c r="B131" s="55"/>
      <c r="C131" s="557"/>
      <c r="D131" s="575"/>
      <c r="E131" s="646"/>
      <c r="F131" s="645"/>
      <c r="G131" s="571"/>
      <c r="H131" s="567" t="str">
        <f>IF(COUNT(G130,G132)=2,IF(G130&gt;G132,E130,E132),"")</f>
        <v>-</v>
      </c>
      <c r="I131" s="571"/>
      <c r="J131" s="668"/>
      <c r="K131" s="668"/>
      <c r="L131" s="668"/>
      <c r="M131" s="668"/>
      <c r="N131" s="668"/>
    </row>
    <row r="132" spans="1:14" x14ac:dyDescent="0.2">
      <c r="A132" s="55"/>
      <c r="B132" s="55"/>
      <c r="C132" s="557"/>
      <c r="D132" s="575"/>
      <c r="E132" s="572" t="str">
        <f>IF(COUNT(E126,E128)=2,IF(E126&lt;E128,C126,C128),"")</f>
        <v>-</v>
      </c>
      <c r="F132" s="566"/>
      <c r="G132" s="562">
        <v>0</v>
      </c>
      <c r="H132" s="569"/>
      <c r="I132" s="554"/>
      <c r="J132" s="668"/>
      <c r="K132" s="668"/>
      <c r="L132" s="668"/>
      <c r="M132" s="668"/>
      <c r="N132" s="668"/>
    </row>
    <row r="133" spans="1:14" x14ac:dyDescent="0.2">
      <c r="A133" s="55"/>
      <c r="B133" s="55"/>
      <c r="C133" s="55"/>
      <c r="D133" s="554"/>
      <c r="E133" s="55"/>
      <c r="F133" s="55"/>
      <c r="G133" s="55"/>
      <c r="H133" s="554"/>
      <c r="I133" s="554"/>
      <c r="J133" s="668"/>
      <c r="K133" s="668"/>
      <c r="L133" s="668"/>
      <c r="M133" s="668"/>
      <c r="N133" s="668"/>
    </row>
    <row r="134" spans="1:14" ht="13.5" thickBot="1" x14ac:dyDescent="0.25">
      <c r="A134" s="55"/>
      <c r="B134" s="55"/>
      <c r="C134" s="55"/>
      <c r="D134" s="55"/>
      <c r="E134" s="554"/>
      <c r="F134" s="554"/>
      <c r="G134" s="55"/>
      <c r="H134" s="571" t="str">
        <f>IF(COUNT(G130,G132)=2,IF(G130&lt;G132,E130,E132),"")</f>
        <v>-</v>
      </c>
      <c r="I134" s="571"/>
      <c r="J134" s="668"/>
      <c r="K134" s="668"/>
      <c r="L134" s="668"/>
      <c r="M134" s="668"/>
      <c r="N134" s="668"/>
    </row>
    <row r="135" spans="1:14" x14ac:dyDescent="0.2">
      <c r="A135" s="578"/>
      <c r="B135" s="579"/>
      <c r="C135" s="527"/>
      <c r="D135" s="527"/>
      <c r="E135" s="527"/>
      <c r="F135" s="527"/>
      <c r="G135" s="528"/>
      <c r="H135" s="569"/>
      <c r="I135" s="506"/>
      <c r="J135" s="668"/>
      <c r="K135" s="668"/>
      <c r="L135" s="668"/>
      <c r="M135" s="668"/>
      <c r="N135" s="668"/>
    </row>
    <row r="136" spans="1:14" x14ac:dyDescent="0.2">
      <c r="A136" s="668"/>
      <c r="B136" s="668"/>
      <c r="C136" s="668"/>
      <c r="D136" s="668"/>
      <c r="E136" s="668"/>
      <c r="F136" s="668"/>
      <c r="G136" s="668"/>
      <c r="H136" s="668"/>
      <c r="I136" s="668"/>
      <c r="J136" s="668"/>
      <c r="K136" s="668"/>
      <c r="L136" s="668"/>
      <c r="M136" s="668"/>
      <c r="N136" s="668"/>
    </row>
    <row r="137" spans="1:14" x14ac:dyDescent="0.2">
      <c r="N137" s="55"/>
    </row>
    <row r="138" spans="1:14" x14ac:dyDescent="0.2">
      <c r="A138" s="553" t="s">
        <v>583</v>
      </c>
      <c r="B138" s="554"/>
      <c r="C138" s="525"/>
      <c r="D138" s="525"/>
      <c r="E138" s="525"/>
      <c r="F138" s="527"/>
      <c r="G138" s="550"/>
      <c r="H138" s="55"/>
      <c r="I138" s="55"/>
      <c r="J138" s="55"/>
      <c r="K138" s="55"/>
      <c r="L138" s="55"/>
      <c r="M138" s="55"/>
      <c r="N138" s="55"/>
    </row>
    <row r="139" spans="1:14" x14ac:dyDescent="0.2">
      <c r="A139" s="55"/>
      <c r="B139" s="55"/>
      <c r="C139" s="55"/>
      <c r="D139" s="55"/>
      <c r="E139" s="55"/>
      <c r="F139" s="55"/>
      <c r="G139" s="55"/>
      <c r="H139" s="55"/>
      <c r="I139" s="55"/>
      <c r="J139" s="55"/>
      <c r="K139" s="55"/>
      <c r="L139" s="55"/>
      <c r="M139" s="55"/>
      <c r="N139" s="668"/>
    </row>
    <row r="140" spans="1:14" x14ac:dyDescent="0.2">
      <c r="A140" s="500" t="s">
        <v>13</v>
      </c>
      <c r="B140" s="501"/>
      <c r="C140" s="502">
        <v>1</v>
      </c>
      <c r="D140" s="502">
        <v>2</v>
      </c>
      <c r="E140" s="502">
        <v>3</v>
      </c>
      <c r="F140" s="502"/>
      <c r="G140" s="502"/>
      <c r="H140" s="502" t="s">
        <v>363</v>
      </c>
      <c r="I140" s="501" t="s">
        <v>26</v>
      </c>
      <c r="J140" s="503" t="s">
        <v>156</v>
      </c>
      <c r="K140" s="504" t="s">
        <v>156</v>
      </c>
      <c r="L140" s="505" t="s">
        <v>364</v>
      </c>
      <c r="M140" s="506" t="b">
        <f>OR(AND(COUNTA(B141:B145)=3,COUNTA(C141:G145)=6),AND(COUNTA(B141:B145)=4,COUNTA(C141:G145)=12),AND(COUNTA(B141:B145)=5,COUNTA(C141:G145)=20))</f>
        <v>1</v>
      </c>
      <c r="N140" s="668"/>
    </row>
    <row r="141" spans="1:14" x14ac:dyDescent="0.2">
      <c r="A141" s="500">
        <v>1</v>
      </c>
      <c r="B141" s="508" t="s">
        <v>440</v>
      </c>
      <c r="C141" s="509"/>
      <c r="D141" s="510">
        <v>13</v>
      </c>
      <c r="E141" s="510">
        <v>13</v>
      </c>
      <c r="F141" s="510"/>
      <c r="G141" s="510"/>
      <c r="H141" s="511" t="str">
        <f>(IF(D141-C142&gt;0,1)+IF(E141-C143&gt;0,1)+IF(F141-C144&gt;0,1)+IF(G141-C145&gt;0,1))&amp;"-"&amp;(IF(D141-C142&lt;0,1)+IF(E141-C143&lt;0,1)+IF(F141-C144&lt;0,1)+IF(G141-C145&lt;0,1))</f>
        <v>2-0</v>
      </c>
      <c r="I141" s="510" t="str">
        <f>IF(AND(B141&lt;&gt;"",M$140=TRUE),A$140&amp;RANK(M141,M$141:M$145,0),"")</f>
        <v>K1</v>
      </c>
      <c r="J141" s="512">
        <f>VALUE(LEFT(H141,1))</f>
        <v>2</v>
      </c>
      <c r="K141" s="513">
        <f>IF(AND(J141=1,J142=1,D141&gt;C142),1)+IF(AND(J141=1,J143=1,E141&gt;C143),1)+IF(AND(J141=1,J144=1,F141&gt;C144),1)+IF(AND(J141=1,J145=1,G141&gt;C145),1)+IF(AND(J141=2,J142=2,D141&gt;C142),1)+IF(AND(J141=2,J143=2,E141&gt;C143),1)+IF(AND(J141=2,J144=2,F141&gt;C144),1)+IF(AND(J141=2,J145=2,G141&gt;C145),1)+IF(AND(J141=3,J142=3,D141&gt;C142),1)+IF(AND(J141=3,J143=3,E141&gt;C143),1)+IF(AND(J141=3,J144=3,F141&gt;C144),1)+IF(AND(J141=3,J145=3,G141&gt;C145),1)</f>
        <v>0</v>
      </c>
      <c r="L141" s="514">
        <f>IF(AND(J141=1,J142=1),D141-C142)+IF(AND(J141=1,J143=1),E141-C143)+IF(AND(J141=1,J144=1),F141-C144)+IF(AND(J141=1,J145=1),G141-C145)+IF(AND(J141=2,J142=2),D141-C142)+IF(AND(J141=2,J143=2),E141-C143)+IF(AND(J141=2,J144=2),F141-C144)+IF(AND(J141=2,J145=2),G141-C145)+IF(AND(J141=3,J142=3),D141-C142)+IF(AND(J141=3,J143=3),E141-C143)+IF(AND(J141=3,J144=3),F141-C144)+IF(AND(J141=3,J145=3),G141-C145)</f>
        <v>0</v>
      </c>
      <c r="M141" s="515">
        <f>10000*J141+K141*100+L141</f>
        <v>20000</v>
      </c>
      <c r="N141" s="668"/>
    </row>
    <row r="142" spans="1:14" x14ac:dyDescent="0.2">
      <c r="A142" s="500">
        <v>2</v>
      </c>
      <c r="B142" s="518" t="s">
        <v>441</v>
      </c>
      <c r="C142" s="510">
        <v>2</v>
      </c>
      <c r="D142" s="509"/>
      <c r="E142" s="510">
        <v>13</v>
      </c>
      <c r="F142" s="510"/>
      <c r="G142" s="510"/>
      <c r="H142" s="511" t="str">
        <f>(IF(C142-D141&gt;0,1)+IF(E142-D143&gt;0,1)+IF(F142-D144&gt;0,1)+IF(G142-D145&gt;0,1))&amp;"-"&amp;(IF(C142-D141&lt;0,1)+IF(E142-D143&lt;0,1)+IF(F142-D144&lt;0,1)+IF(G142-D145&lt;0,1))</f>
        <v>1-1</v>
      </c>
      <c r="I142" s="510" t="str">
        <f>IF(AND(B142&lt;&gt;"",M$140=TRUE),A$140&amp;RANK(M142,M$141:M$145,0),"")</f>
        <v>K2</v>
      </c>
      <c r="J142" s="512">
        <f t="shared" ref="J142:J145" si="16">VALUE(LEFT(H142,1))</f>
        <v>1</v>
      </c>
      <c r="K142" s="639">
        <f>IF(AND(J142=1,J141=1,C142&gt;D141),1)+IF(AND(J142=1,J143=1,E142&gt;D143),1)+IF(AND(J142=1,J144=1,F142&gt;D144),1)+IF(AND(J142=1,J145=1,G142&gt;D145),1)+IF(AND(J142=2,J141=2,C142&gt;D141),1)+IF(AND(J142=2,J143=2,E142&gt;D143),1)+IF(AND(J142=2,J144=2,F142&gt;D144),1)+IF(AND(J142=2,J145=2,G142&gt;D145),1)+IF(AND(J142=3,J141=3,C142&gt;D141),1)+IF(AND(J142=3,J143=3,E142&gt;D143),1)+IF(AND(J142=3,J144=3,F142&gt;D144),1)+IF(AND(J142=3,J145=3,G142&gt;D145),1)</f>
        <v>0</v>
      </c>
      <c r="L142" s="514">
        <f>IF(AND(J142=1,J141=1),C142-D141)+IF(AND(J142=1,J143=1),E142-D143)+IF(AND(J142=1,J144=1),F142-D144)+IF(AND(J142=1,J145=1),G142-D145)+IF(AND(J142=2,J141=2),C142-D141)+IF(AND(J142=2,J143=2),E142-D143)+IF(AND(J142=2,J144=2),F142-D144)+IF(AND(J142=2,J145=2),G142-D145)+IF(AND(J142=3,J141=3),C142-D141)+IF(AND(J142=3,J143=3),E142-D143)+IF(AND(J142=3,J144=3),F142-D144)+IF(AND(J142=3,J145=3),G142-D145)</f>
        <v>0</v>
      </c>
      <c r="M142" s="515">
        <f t="shared" ref="M142:M145" si="17">10000*J142+K142*100+L142</f>
        <v>10000</v>
      </c>
      <c r="N142" s="668"/>
    </row>
    <row r="143" spans="1:14" x14ac:dyDescent="0.2">
      <c r="A143" s="500">
        <v>3</v>
      </c>
      <c r="B143" s="518" t="s">
        <v>761</v>
      </c>
      <c r="C143" s="510">
        <v>6</v>
      </c>
      <c r="D143" s="520">
        <v>4</v>
      </c>
      <c r="E143" s="509"/>
      <c r="F143" s="510"/>
      <c r="G143" s="510"/>
      <c r="H143" s="511" t="str">
        <f>(IF(C143-E141&gt;0,1)+IF(D143-E142&gt;0,1)+IF(F143-E144&gt;0,1)+IF(G143-E145&gt;0,1))&amp;"-"&amp;(IF(C143-E141&lt;0,1)+IF(D143-E142&lt;0,1)+IF(F143-E144&lt;0,1)+IF(G143-E145&lt;0,1))</f>
        <v>0-2</v>
      </c>
      <c r="I143" s="510" t="str">
        <f>IF(AND(B143&lt;&gt;"",M$140=TRUE),A$140&amp;RANK(M143,M$141:M$145,0),"")</f>
        <v>K3</v>
      </c>
      <c r="J143" s="512">
        <f t="shared" si="16"/>
        <v>0</v>
      </c>
      <c r="K143" s="639">
        <f>IF(AND(J143=1,J141=1,C143&gt;E141),1)+IF(AND(J143=1,J142=1,D143&gt;E142),1)+IF(AND(J143=1,J144=1,F143&gt;E144),1)+IF(AND(J143=1,J145=1,G143&gt;E145),1)+IF(AND(J143=2,J141=2,C143&gt;E141),1)+IF(AND(J143=2,J142=2,D143&gt;E142),1)+IF(AND(J143=2,J144=2,F143&gt;E144),1)+IF(AND(J143=2,J145=2,G143&gt;E145),1)+IF(AND(J143=3,J141=3,C143&gt;E141),1)+IF(AND(J143=3,J142=3,D143&gt;E142),1)+IF(AND(J143=3,J144=3,F143&gt;E144),1)+IF(AND(J143=3,J145=3,G143&gt;E145),1)</f>
        <v>0</v>
      </c>
      <c r="L143" s="514">
        <f>IF(AND(J143=1,J141=1),C143-E141)+IF(AND(J143=1,J142=1),D143-E142)+IF(AND(J143=1,J144=1),F143-E144)+IF(AND(J143=1,J145=1),G143-E145)+IF(AND(J143=2,J141=2),C143-E141)+IF(AND(J143=2,J142=2),D143-E142)+IF(AND(J143=2,J144=2),F143-E144)+IF(AND(J143=2,J145=2),G143-E145)+IF(AND(J143=3,J141=3),C143-E141)+IF(AND(J143=3,J142=3),D143-E142)+IF(AND(J143=3,J144=3),F143-E144)+IF(AND(J143=3,J145=3),G143-E145)</f>
        <v>0</v>
      </c>
      <c r="M143" s="515">
        <f t="shared" si="17"/>
        <v>0</v>
      </c>
      <c r="N143" s="668"/>
    </row>
    <row r="144" spans="1:14" hidden="1" x14ac:dyDescent="0.2">
      <c r="A144" s="500">
        <v>4</v>
      </c>
      <c r="B144" s="521"/>
      <c r="C144" s="510"/>
      <c r="D144" s="520"/>
      <c r="E144" s="510"/>
      <c r="F144" s="509"/>
      <c r="G144" s="522"/>
      <c r="H144" s="511" t="str">
        <f>(IF(C144-F141&gt;0,1)+IF(D144-F142&gt;0,1)+IF(E144-F143&gt;0,1)+IF(G144-F145&gt;0,1))&amp;"-"&amp;(IF(C144-F141&lt;0,1)+IF(D144-F142&lt;0,1)+IF(E144-F143&lt;0,1)+IF(G144-F145&lt;0,1))</f>
        <v>0-0</v>
      </c>
      <c r="I144" s="510" t="str">
        <f>IF(AND(B144&lt;&gt;"",M$140=TRUE),A$140&amp;RANK(M144,M$141:M$145,0),"")</f>
        <v/>
      </c>
      <c r="J144" s="512">
        <f t="shared" si="16"/>
        <v>0</v>
      </c>
      <c r="K144" s="639">
        <f>IF(AND(J144=1,J141=1,C144&gt;F141),1)+IF(AND(J144=1,J142=1,D144&gt;F142),1)+IF(AND(J144=1,J143=1,E144&gt;F143),1)+IF(AND(J144=1,J145=1,G144&gt;F145),1)+IF(AND(J144=2,J141=2,C144&gt;F141),1)+IF(AND(J144=2,J142=2,D144&gt;F142),1)+IF(AND(J144=2,J143=2,E144&gt;F143),1)+IF(AND(J144=2,J145=2,G144&gt;F145),1)+IF(AND(J144=3,J141=3,C144&gt;F141),1)+IF(AND(J144=3,J142=3,D144&gt;F142),1)+IF(AND(J144=3,J143=3,E144&gt;F143),1)+IF(AND(J144=3,J145=3,G144&gt;F145),1)</f>
        <v>0</v>
      </c>
      <c r="L144" s="514">
        <f>IF(AND(J144=1,J141=1),C144-F141)+IF(AND(J144=1,J142=1),D144-F142)+IF(AND(J144=1,J143=1),E144-F143)+IF(AND(J144=1,J145=1),G144-F145)+IF(AND(J144=2,J141=2),C144-F141)+IF(AND(J144=2,J142=2),D144-F142)+IF(AND(J144=2,J143=2),E144-F143)+IF(AND(J144=2,J145=2),G144-F145)+IF(AND(J144=3,J141=3),C144-F141)+IF(AND(J144=3,J142=3),D144-F142)+IF(AND(J144=3,J143=3),E144-F143)+IF(AND(J144=3,J145=3),G144-F145)</f>
        <v>0</v>
      </c>
      <c r="M144" s="515">
        <f t="shared" si="17"/>
        <v>0</v>
      </c>
      <c r="N144" s="668"/>
    </row>
    <row r="145" spans="1:14" hidden="1" x14ac:dyDescent="0.2">
      <c r="A145" s="500">
        <v>5</v>
      </c>
      <c r="B145" s="521"/>
      <c r="C145" s="510"/>
      <c r="D145" s="510"/>
      <c r="E145" s="510"/>
      <c r="F145" s="510"/>
      <c r="G145" s="509"/>
      <c r="H145" s="511" t="str">
        <f>(IF(C145-G141&gt;0,1)+IF(D145-G142&gt;0,1)+IF(E145-G143&gt;0,1)+IF(F145-G144&gt;0,1))&amp;"-"&amp;(IF(C145-G141&lt;0,1)+IF(D145-G142&lt;0,1)+IF(E145-G143&lt;0,1)+IF(F145-G144&lt;0,1))</f>
        <v>0-0</v>
      </c>
      <c r="I145" s="510" t="str">
        <f>IF(AND(B145&lt;&gt;"",M$140=TRUE),A$140&amp;RANK(M145,M$141:M$145,0),"")</f>
        <v/>
      </c>
      <c r="J145" s="512">
        <f t="shared" si="16"/>
        <v>0</v>
      </c>
      <c r="K145" s="639">
        <f>IF(AND(J145=1,J141=1,C145&gt;G141),1)+IF(AND(J145=1,J142=1,D145&gt;G142),1)+IF(AND(J145=1,J143=1,E145&gt;G143),1)+IF(AND(J145=1,J144=1,F145&gt;G144),1)+IF(AND(J145=2,J141=2,C145&gt;G141),1)+IF(AND(J145=2,J142=2,D145&gt;G142),1)+IF(AND(J145=2,J143=2,E145&gt;G143),1)+IF(AND(J145=2,J144=2,F145&gt;G144),1)+IF(AND(J145=3,J141=3,C145&gt;G141),1)+IF(AND(J145=3,J142=3,D145&gt;G142),1)+IF(AND(J145=3,J143=3,E145&gt;G143),1)+IF(AND(J145=3,J144=3,F145&gt;G144),1)</f>
        <v>0</v>
      </c>
      <c r="L145" s="514">
        <f>IF(AND(J145=1,J141=1),C145-G141)+IF(AND(J145=1,J142=1),D145-G142)+IF(AND(J145=1,J143=1),E145-G143)+IF(AND(J145=1,J144=1),F145-G144)+IF(AND(J145=2,J141=2),C145-G141)+IF(AND(J145=2,J142=2),D145-G142)+IF(AND(J145=2,J143=2),E145-G143)+IF(AND(J145=2,J144=2),F145-G144)+IF(AND(J145=3,J141=3),C145-G141)+IF(AND(J145=3,J142=3),D145-G142)+IF(AND(J145=3,J143=3),E145-G143)+IF(AND(J145=3,J144=3),F145-G144)</f>
        <v>0</v>
      </c>
      <c r="M145" s="515">
        <f t="shared" si="17"/>
        <v>0</v>
      </c>
      <c r="N145" s="668"/>
    </row>
    <row r="146" spans="1:14" x14ac:dyDescent="0.2">
      <c r="A146" s="55"/>
      <c r="B146" s="55"/>
      <c r="C146" s="55"/>
      <c r="D146" s="55"/>
      <c r="E146" s="55"/>
      <c r="F146" s="55"/>
      <c r="G146" s="55"/>
      <c r="H146" s="55"/>
      <c r="I146" s="55"/>
      <c r="J146" s="55"/>
      <c r="K146" s="55"/>
      <c r="L146" s="55"/>
      <c r="M146" s="55"/>
      <c r="N146" s="55"/>
    </row>
    <row r="147" spans="1:14" x14ac:dyDescent="0.2">
      <c r="A147" s="55"/>
      <c r="B147" s="549" t="s">
        <v>16</v>
      </c>
      <c r="C147" s="550" t="s">
        <v>366</v>
      </c>
      <c r="D147" s="55"/>
      <c r="E147" s="55"/>
      <c r="F147" s="55"/>
      <c r="G147" s="55"/>
      <c r="H147" s="55"/>
      <c r="I147" s="55"/>
      <c r="J147" s="55"/>
      <c r="K147" s="55"/>
      <c r="L147" s="55"/>
      <c r="M147" s="55"/>
      <c r="N147" s="55"/>
    </row>
    <row r="148" spans="1:14" x14ac:dyDescent="0.2">
      <c r="A148" s="55"/>
      <c r="B148" s="549" t="s">
        <v>17</v>
      </c>
      <c r="C148" s="550" t="s">
        <v>367</v>
      </c>
      <c r="D148" s="55"/>
      <c r="E148" s="55"/>
      <c r="F148" s="55"/>
      <c r="G148" s="55"/>
      <c r="H148" s="55"/>
      <c r="I148" s="55"/>
      <c r="J148" s="55"/>
      <c r="K148" s="55"/>
      <c r="L148" s="55"/>
      <c r="M148" s="55"/>
      <c r="N148" s="55"/>
    </row>
    <row r="149" spans="1:14" x14ac:dyDescent="0.2">
      <c r="A149" s="55"/>
      <c r="B149" s="549" t="s">
        <v>18</v>
      </c>
      <c r="C149" s="550" t="s">
        <v>368</v>
      </c>
      <c r="D149" s="55"/>
      <c r="E149" s="55"/>
      <c r="F149" s="55"/>
      <c r="G149" s="55"/>
      <c r="H149" s="55"/>
      <c r="I149" s="55"/>
      <c r="J149" s="55"/>
      <c r="K149" s="55"/>
      <c r="L149" s="55"/>
      <c r="M149" s="55"/>
      <c r="N149" s="55"/>
    </row>
    <row r="150" spans="1:14" ht="13.5" thickBot="1" x14ac:dyDescent="0.25">
      <c r="A150" s="55"/>
      <c r="B150" s="55"/>
      <c r="C150" s="55"/>
      <c r="D150" s="55"/>
      <c r="E150" s="55"/>
      <c r="F150" s="55"/>
      <c r="G150" s="640" t="s">
        <v>574</v>
      </c>
      <c r="H150" s="567" t="str">
        <f>IFERROR(INDEX(B$141:B$145,MATCH(G150,I$141:I$145,0)),"")</f>
        <v>Jaan Sepp, Oskar Sepp</v>
      </c>
      <c r="I150" s="55"/>
      <c r="J150" s="55"/>
      <c r="K150" s="55"/>
      <c r="L150" s="55"/>
      <c r="M150" s="55"/>
      <c r="N150" s="55"/>
    </row>
    <row r="151" spans="1:14" x14ac:dyDescent="0.2">
      <c r="A151" s="55"/>
      <c r="B151" s="55"/>
      <c r="C151" s="55"/>
      <c r="D151" s="55"/>
      <c r="E151" s="55"/>
      <c r="F151" s="55"/>
      <c r="G151" s="640"/>
      <c r="H151" s="569" t="s">
        <v>392</v>
      </c>
      <c r="I151" s="570"/>
      <c r="J151" s="55"/>
      <c r="K151" s="55"/>
      <c r="L151" s="55"/>
      <c r="M151" s="55"/>
      <c r="N151" s="55"/>
    </row>
    <row r="152" spans="1:14" x14ac:dyDescent="0.2">
      <c r="A152" s="55"/>
      <c r="B152" s="55"/>
      <c r="C152" s="55"/>
      <c r="D152" s="55"/>
      <c r="E152" s="55"/>
      <c r="F152" s="55"/>
      <c r="G152" s="640"/>
      <c r="H152" s="55"/>
      <c r="I152" s="55"/>
      <c r="J152" s="55"/>
      <c r="K152" s="55"/>
      <c r="L152" s="55"/>
      <c r="M152" s="55"/>
      <c r="N152" s="55"/>
    </row>
    <row r="153" spans="1:14" ht="13.5" thickBot="1" x14ac:dyDescent="0.25">
      <c r="A153" s="55"/>
      <c r="B153" s="55"/>
      <c r="C153" s="55"/>
      <c r="D153" s="55"/>
      <c r="E153" s="55"/>
      <c r="F153" s="55"/>
      <c r="G153" s="640" t="s">
        <v>575</v>
      </c>
      <c r="H153" s="567" t="str">
        <f>IFERROR(INDEX(B$141:B$145,MATCH(G153,I$141:I$145,0)),"")</f>
        <v>Karla Purgats, Lemmit Toomra</v>
      </c>
      <c r="I153" s="571"/>
      <c r="J153" s="55"/>
      <c r="K153" s="55"/>
      <c r="L153" s="55"/>
      <c r="M153" s="55"/>
      <c r="N153" s="55"/>
    </row>
    <row r="154" spans="1:14" x14ac:dyDescent="0.2">
      <c r="A154" s="55"/>
      <c r="B154" s="55"/>
      <c r="C154" s="55"/>
      <c r="D154" s="55"/>
      <c r="E154" s="55"/>
      <c r="F154" s="55"/>
      <c r="G154" s="640"/>
      <c r="H154" s="569" t="s">
        <v>393</v>
      </c>
      <c r="I154" s="554"/>
      <c r="J154" s="55"/>
      <c r="K154" s="55"/>
      <c r="L154" s="55"/>
      <c r="M154" s="55"/>
      <c r="N154" s="55"/>
    </row>
    <row r="155" spans="1:14" x14ac:dyDescent="0.2">
      <c r="A155" s="55"/>
      <c r="B155" s="55"/>
      <c r="C155" s="55"/>
      <c r="D155" s="55"/>
      <c r="E155" s="55"/>
      <c r="F155" s="55"/>
      <c r="G155" s="640"/>
      <c r="H155" s="55"/>
      <c r="I155" s="55"/>
      <c r="J155" s="55"/>
      <c r="K155" s="55"/>
      <c r="L155" s="55"/>
      <c r="M155" s="55"/>
      <c r="N155" s="55"/>
    </row>
    <row r="156" spans="1:14" ht="13.5" thickBot="1" x14ac:dyDescent="0.25">
      <c r="A156" s="55"/>
      <c r="B156" s="55"/>
      <c r="C156" s="55"/>
      <c r="D156" s="55"/>
      <c r="E156" s="55"/>
      <c r="F156" s="55"/>
      <c r="G156" s="640" t="s">
        <v>576</v>
      </c>
      <c r="H156" s="567" t="str">
        <f>IFERROR(INDEX(B$141:B$145,MATCH(G156,I$141:I$145,0)),"")</f>
        <v>Kenneth Muusikus, Peep Peenema</v>
      </c>
      <c r="I156" s="571"/>
      <c r="J156" s="55"/>
      <c r="K156" s="55"/>
      <c r="L156" s="55"/>
      <c r="M156" s="55"/>
      <c r="N156" s="55"/>
    </row>
    <row r="157" spans="1:14" x14ac:dyDescent="0.2">
      <c r="A157" s="55"/>
      <c r="B157" s="55"/>
      <c r="C157" s="55"/>
      <c r="D157" s="55"/>
      <c r="E157" s="55"/>
      <c r="F157" s="55"/>
      <c r="G157" s="637"/>
      <c r="H157" s="523" t="s">
        <v>399</v>
      </c>
      <c r="I157" s="554"/>
      <c r="J157" s="55"/>
      <c r="K157" s="55"/>
      <c r="L157" s="55"/>
      <c r="M157" s="55"/>
      <c r="N157" s="55"/>
    </row>
    <row r="158" spans="1:14" x14ac:dyDescent="0.2">
      <c r="A158" s="55"/>
      <c r="B158" s="55"/>
      <c r="C158" s="55"/>
      <c r="D158" s="55"/>
      <c r="E158" s="554"/>
      <c r="F158" s="554"/>
      <c r="G158" s="55"/>
      <c r="J158" s="668"/>
      <c r="K158" s="668"/>
      <c r="L158" s="668"/>
      <c r="M158" s="668"/>
      <c r="N158" s="668"/>
    </row>
    <row r="159" spans="1:14" x14ac:dyDescent="0.2">
      <c r="A159" s="553" t="s">
        <v>582</v>
      </c>
      <c r="B159" s="55"/>
      <c r="C159" s="55"/>
      <c r="D159" s="55"/>
      <c r="E159" s="55"/>
      <c r="F159" s="55"/>
      <c r="G159" s="55"/>
      <c r="J159" s="668"/>
      <c r="K159" s="668"/>
      <c r="L159" s="668"/>
      <c r="M159" s="668"/>
      <c r="N159" s="668"/>
    </row>
    <row r="160" spans="1:14" x14ac:dyDescent="0.2">
      <c r="A160" s="55"/>
      <c r="L160" s="668"/>
      <c r="M160" s="668"/>
      <c r="N160" s="668"/>
    </row>
    <row r="161" spans="1:14" ht="13.5" thickBot="1" x14ac:dyDescent="0.25">
      <c r="A161" s="55"/>
      <c r="H161" s="567" t="s">
        <v>35</v>
      </c>
      <c r="I161" s="571"/>
      <c r="L161" s="668"/>
      <c r="M161" s="668"/>
      <c r="N161" s="668"/>
    </row>
    <row r="162" spans="1:14" x14ac:dyDescent="0.2">
      <c r="A162" s="55"/>
      <c r="H162" s="538" t="s">
        <v>402</v>
      </c>
      <c r="I162" s="55"/>
      <c r="L162" s="668"/>
      <c r="M162" s="668"/>
      <c r="N162" s="668"/>
    </row>
    <row r="163" spans="1:14" x14ac:dyDescent="0.2">
      <c r="A163" s="55"/>
      <c r="L163" s="668"/>
      <c r="M163" s="668"/>
      <c r="N163" s="668"/>
    </row>
    <row r="164" spans="1:14" ht="13.5" thickBot="1" x14ac:dyDescent="0.25">
      <c r="A164" s="55"/>
      <c r="H164" s="567" t="s">
        <v>581</v>
      </c>
      <c r="I164" s="571"/>
      <c r="L164" s="668"/>
      <c r="M164" s="668"/>
      <c r="N164" s="668"/>
    </row>
    <row r="165" spans="1:14" x14ac:dyDescent="0.2">
      <c r="A165" s="55"/>
      <c r="H165" s="538" t="s">
        <v>404</v>
      </c>
      <c r="I165" s="55"/>
      <c r="L165" s="668"/>
      <c r="M165" s="668"/>
      <c r="N165" s="668"/>
    </row>
    <row r="166" spans="1:14" x14ac:dyDescent="0.2">
      <c r="A166" s="55"/>
      <c r="L166" s="668"/>
      <c r="M166" s="668"/>
      <c r="N166" s="668"/>
    </row>
    <row r="167" spans="1:14" ht="13.5" thickBot="1" x14ac:dyDescent="0.25">
      <c r="A167" s="55"/>
      <c r="H167" s="567" t="s">
        <v>573</v>
      </c>
      <c r="I167" s="571"/>
      <c r="L167" s="668"/>
      <c r="M167" s="668"/>
      <c r="N167" s="668"/>
    </row>
    <row r="168" spans="1:14" x14ac:dyDescent="0.2">
      <c r="A168" s="55"/>
      <c r="H168" s="538" t="s">
        <v>405</v>
      </c>
      <c r="I168" s="55"/>
      <c r="L168" s="668"/>
      <c r="M168" s="668"/>
      <c r="N168" s="668"/>
    </row>
    <row r="169" spans="1:14" hidden="1" x14ac:dyDescent="0.2">
      <c r="A169" s="55"/>
      <c r="L169" s="668"/>
      <c r="M169" s="668"/>
      <c r="N169" s="668"/>
    </row>
    <row r="170" spans="1:14" hidden="1" x14ac:dyDescent="0.2">
      <c r="A170" s="55"/>
      <c r="L170" s="668"/>
      <c r="M170" s="668"/>
      <c r="N170" s="668"/>
    </row>
    <row r="171" spans="1:14" hidden="1" x14ac:dyDescent="0.2">
      <c r="A171" s="55"/>
      <c r="L171" s="668"/>
      <c r="M171" s="668"/>
      <c r="N171" s="668"/>
    </row>
    <row r="172" spans="1:14" hidden="1" x14ac:dyDescent="0.2">
      <c r="A172" s="55"/>
      <c r="L172" s="668"/>
      <c r="M172" s="668"/>
      <c r="N172" s="668"/>
    </row>
    <row r="173" spans="1:14" hidden="1" x14ac:dyDescent="0.2">
      <c r="A173" s="578"/>
      <c r="L173" s="668"/>
      <c r="M173" s="668"/>
      <c r="N173" s="668"/>
    </row>
    <row r="174" spans="1:14" hidden="1" x14ac:dyDescent="0.2">
      <c r="A174" s="668"/>
      <c r="L174" s="668"/>
      <c r="M174" s="668"/>
      <c r="N174" s="668"/>
    </row>
    <row r="175" spans="1:14" hidden="1" x14ac:dyDescent="0.2">
      <c r="A175" s="668"/>
      <c r="L175" s="668"/>
      <c r="M175" s="668"/>
      <c r="N175" s="668"/>
    </row>
    <row r="176" spans="1:14" hidden="1" x14ac:dyDescent="0.2">
      <c r="A176" s="668"/>
      <c r="L176" s="668"/>
      <c r="M176" s="668"/>
      <c r="N176" s="668"/>
    </row>
    <row r="177" spans="1:14" hidden="1" x14ac:dyDescent="0.2">
      <c r="A177" s="668"/>
      <c r="L177" s="668"/>
      <c r="M177" s="668"/>
      <c r="N177" s="668"/>
    </row>
    <row r="178" spans="1:14" hidden="1" x14ac:dyDescent="0.2">
      <c r="A178" s="668"/>
      <c r="L178" s="668"/>
      <c r="M178" s="668"/>
      <c r="N178" s="668"/>
    </row>
    <row r="179" spans="1:14" hidden="1" x14ac:dyDescent="0.2">
      <c r="A179" s="668"/>
      <c r="L179" s="668"/>
      <c r="M179" s="668"/>
      <c r="N179" s="668"/>
    </row>
    <row r="180" spans="1:14" hidden="1" x14ac:dyDescent="0.2">
      <c r="A180" s="668"/>
      <c r="L180" s="668"/>
      <c r="M180" s="668"/>
      <c r="N180" s="668"/>
    </row>
    <row r="181" spans="1:14" hidden="1" x14ac:dyDescent="0.2">
      <c r="A181" s="668"/>
      <c r="L181" s="668"/>
      <c r="M181" s="668"/>
      <c r="N181" s="668"/>
    </row>
    <row r="182" spans="1:14" hidden="1" x14ac:dyDescent="0.2">
      <c r="A182" s="668"/>
      <c r="L182" s="668"/>
      <c r="M182" s="668"/>
      <c r="N182" s="668"/>
    </row>
    <row r="183" spans="1:14" hidden="1" x14ac:dyDescent="0.2">
      <c r="A183" s="668"/>
      <c r="L183" s="668"/>
      <c r="M183" s="668"/>
      <c r="N183" s="668"/>
    </row>
    <row r="184" spans="1:14" hidden="1" x14ac:dyDescent="0.2">
      <c r="A184" s="668"/>
      <c r="L184" s="668"/>
      <c r="M184" s="668"/>
      <c r="N184" s="668"/>
    </row>
    <row r="185" spans="1:14" hidden="1" x14ac:dyDescent="0.2">
      <c r="A185" s="668"/>
      <c r="L185" s="668"/>
      <c r="M185" s="668"/>
      <c r="N185" s="668"/>
    </row>
    <row r="186" spans="1:14" hidden="1" x14ac:dyDescent="0.2">
      <c r="A186" s="668"/>
      <c r="L186" s="668"/>
      <c r="M186" s="668"/>
      <c r="N186" s="668"/>
    </row>
    <row r="187" spans="1:14" hidden="1" x14ac:dyDescent="0.2">
      <c r="A187" s="668"/>
      <c r="L187" s="668"/>
      <c r="M187" s="668"/>
      <c r="N187" s="668"/>
    </row>
    <row r="188" spans="1:14" hidden="1" x14ac:dyDescent="0.2">
      <c r="A188" s="668"/>
      <c r="L188" s="668"/>
      <c r="M188" s="668"/>
      <c r="N188" s="668"/>
    </row>
    <row r="189" spans="1:14" hidden="1" x14ac:dyDescent="0.2">
      <c r="A189" s="668"/>
      <c r="L189" s="668"/>
      <c r="M189" s="668"/>
      <c r="N189" s="668"/>
    </row>
    <row r="190" spans="1:14" hidden="1" x14ac:dyDescent="0.2">
      <c r="A190" s="668"/>
      <c r="L190" s="668"/>
      <c r="M190" s="668"/>
      <c r="N190" s="668"/>
    </row>
    <row r="191" spans="1:14" hidden="1" x14ac:dyDescent="0.2">
      <c r="A191" s="668"/>
      <c r="L191" s="668"/>
      <c r="M191" s="668"/>
      <c r="N191" s="668"/>
    </row>
    <row r="192" spans="1:14" hidden="1" x14ac:dyDescent="0.2">
      <c r="A192" s="668"/>
      <c r="L192" s="668"/>
      <c r="M192" s="668"/>
      <c r="N192" s="668"/>
    </row>
    <row r="193" spans="1:14" hidden="1" x14ac:dyDescent="0.2">
      <c r="A193" s="668"/>
      <c r="L193" s="668"/>
      <c r="M193" s="668"/>
      <c r="N193" s="668"/>
    </row>
    <row r="194" spans="1:14" hidden="1" x14ac:dyDescent="0.2">
      <c r="A194" s="668"/>
      <c r="L194" s="668"/>
      <c r="M194" s="668"/>
      <c r="N194" s="668"/>
    </row>
    <row r="195" spans="1:14" hidden="1" x14ac:dyDescent="0.2">
      <c r="A195" s="668"/>
      <c r="L195" s="668"/>
      <c r="M195" s="668"/>
      <c r="N195" s="668"/>
    </row>
    <row r="196" spans="1:14" hidden="1" x14ac:dyDescent="0.2">
      <c r="A196" s="668"/>
      <c r="L196" s="668"/>
      <c r="M196" s="668"/>
      <c r="N196" s="668"/>
    </row>
    <row r="197" spans="1:14" hidden="1" x14ac:dyDescent="0.2">
      <c r="A197" s="668"/>
      <c r="L197" s="668"/>
      <c r="M197" s="668"/>
      <c r="N197" s="668"/>
    </row>
    <row r="198" spans="1:14" hidden="1" x14ac:dyDescent="0.2">
      <c r="A198" s="668"/>
      <c r="L198" s="668"/>
      <c r="M198" s="668"/>
      <c r="N198" s="668"/>
    </row>
    <row r="199" spans="1:14" hidden="1" x14ac:dyDescent="0.2">
      <c r="A199" s="668"/>
      <c r="L199" s="668"/>
      <c r="M199" s="668"/>
      <c r="N199" s="668"/>
    </row>
    <row r="200" spans="1:14" hidden="1" x14ac:dyDescent="0.2">
      <c r="A200" s="668"/>
      <c r="L200" s="668"/>
      <c r="M200" s="668"/>
      <c r="N200" s="668"/>
    </row>
    <row r="201" spans="1:14" hidden="1" x14ac:dyDescent="0.2">
      <c r="A201" s="668"/>
      <c r="L201" s="668"/>
      <c r="M201" s="668"/>
      <c r="N201" s="668"/>
    </row>
    <row r="202" spans="1:14" hidden="1" x14ac:dyDescent="0.2">
      <c r="A202" s="668"/>
      <c r="L202" s="668"/>
      <c r="M202" s="668"/>
      <c r="N202" s="668"/>
    </row>
    <row r="203" spans="1:14" hidden="1" x14ac:dyDescent="0.2">
      <c r="A203" s="668"/>
      <c r="L203" s="668"/>
      <c r="M203" s="668"/>
      <c r="N203" s="668"/>
    </row>
    <row r="204" spans="1:14" hidden="1" x14ac:dyDescent="0.2">
      <c r="A204" s="668"/>
      <c r="L204" s="668"/>
      <c r="M204" s="668"/>
      <c r="N204" s="668"/>
    </row>
    <row r="205" spans="1:14" hidden="1" x14ac:dyDescent="0.2">
      <c r="A205" s="668"/>
      <c r="L205" s="668"/>
      <c r="M205" s="668"/>
      <c r="N205" s="668"/>
    </row>
    <row r="206" spans="1:14" hidden="1" x14ac:dyDescent="0.2">
      <c r="A206" s="668"/>
      <c r="L206" s="668"/>
      <c r="M206" s="668"/>
      <c r="N206" s="668"/>
    </row>
    <row r="207" spans="1:14" hidden="1" x14ac:dyDescent="0.2">
      <c r="A207" s="668"/>
      <c r="L207" s="668"/>
      <c r="M207" s="668"/>
      <c r="N207" s="668"/>
    </row>
    <row r="208" spans="1:14" hidden="1" x14ac:dyDescent="0.2">
      <c r="A208" s="668"/>
      <c r="L208" s="668"/>
      <c r="M208" s="668"/>
      <c r="N208" s="668"/>
    </row>
    <row r="209" spans="1:14" hidden="1" x14ac:dyDescent="0.2">
      <c r="A209" s="668"/>
      <c r="L209" s="668"/>
      <c r="M209" s="668"/>
      <c r="N209" s="668"/>
    </row>
    <row r="210" spans="1:14" hidden="1" x14ac:dyDescent="0.2">
      <c r="A210" s="668"/>
      <c r="L210" s="668"/>
      <c r="M210" s="668"/>
      <c r="N210" s="668"/>
    </row>
    <row r="211" spans="1:14" hidden="1" x14ac:dyDescent="0.2">
      <c r="A211" s="668"/>
      <c r="L211" s="668"/>
      <c r="M211" s="668"/>
      <c r="N211" s="668"/>
    </row>
    <row r="212" spans="1:14" hidden="1" x14ac:dyDescent="0.2">
      <c r="A212" s="668"/>
      <c r="L212" s="668"/>
      <c r="M212" s="668"/>
      <c r="N212" s="668"/>
    </row>
    <row r="213" spans="1:14" hidden="1" x14ac:dyDescent="0.2">
      <c r="A213" s="668"/>
      <c r="L213" s="668"/>
      <c r="M213" s="668"/>
      <c r="N213" s="668"/>
    </row>
    <row r="214" spans="1:14" hidden="1" x14ac:dyDescent="0.2">
      <c r="A214" s="668"/>
      <c r="L214" s="668"/>
      <c r="M214" s="668"/>
      <c r="N214" s="668"/>
    </row>
    <row r="215" spans="1:14" hidden="1" x14ac:dyDescent="0.2">
      <c r="A215" s="668"/>
      <c r="L215" s="668"/>
      <c r="M215" s="668"/>
      <c r="N215" s="668"/>
    </row>
    <row r="216" spans="1:14" hidden="1" x14ac:dyDescent="0.2">
      <c r="A216" s="668"/>
      <c r="L216" s="668"/>
      <c r="M216" s="668"/>
      <c r="N216" s="668"/>
    </row>
    <row r="217" spans="1:14" hidden="1" x14ac:dyDescent="0.2">
      <c r="A217" s="668"/>
      <c r="L217" s="668"/>
      <c r="M217" s="668"/>
      <c r="N217" s="668"/>
    </row>
    <row r="218" spans="1:14" hidden="1" x14ac:dyDescent="0.2">
      <c r="A218" s="668"/>
      <c r="L218" s="668"/>
      <c r="M218" s="668"/>
      <c r="N218" s="668"/>
    </row>
    <row r="219" spans="1:14" hidden="1" x14ac:dyDescent="0.2">
      <c r="A219" s="668"/>
      <c r="L219" s="668"/>
      <c r="M219" s="668"/>
      <c r="N219" s="668"/>
    </row>
    <row r="220" spans="1:14" hidden="1" x14ac:dyDescent="0.2">
      <c r="A220" s="668"/>
      <c r="L220" s="668"/>
      <c r="M220" s="668"/>
      <c r="N220" s="668"/>
    </row>
    <row r="221" spans="1:14" hidden="1" x14ac:dyDescent="0.2">
      <c r="A221" s="668"/>
      <c r="L221" s="668"/>
      <c r="M221" s="668"/>
      <c r="N221" s="668"/>
    </row>
    <row r="222" spans="1:14" hidden="1" x14ac:dyDescent="0.2">
      <c r="A222" s="668"/>
      <c r="L222" s="668"/>
      <c r="M222" s="668"/>
      <c r="N222" s="668"/>
    </row>
    <row r="223" spans="1:14" hidden="1" x14ac:dyDescent="0.2">
      <c r="A223" s="668"/>
      <c r="L223" s="668"/>
      <c r="M223" s="668"/>
      <c r="N223" s="668"/>
    </row>
    <row r="224" spans="1:14" hidden="1" x14ac:dyDescent="0.2">
      <c r="A224" s="668"/>
      <c r="L224" s="668"/>
      <c r="M224" s="668"/>
      <c r="N224" s="668"/>
    </row>
    <row r="225" spans="1:14" hidden="1" x14ac:dyDescent="0.2">
      <c r="A225" s="668"/>
      <c r="L225" s="668"/>
      <c r="M225" s="668"/>
      <c r="N225" s="668"/>
    </row>
    <row r="226" spans="1:14" hidden="1" x14ac:dyDescent="0.2">
      <c r="A226" s="668"/>
      <c r="L226" s="668"/>
      <c r="M226" s="668"/>
      <c r="N226" s="668"/>
    </row>
    <row r="227" spans="1:14" hidden="1" x14ac:dyDescent="0.2">
      <c r="A227" s="668"/>
      <c r="L227" s="668"/>
      <c r="M227" s="668"/>
      <c r="N227" s="668"/>
    </row>
    <row r="228" spans="1:14" hidden="1" x14ac:dyDescent="0.2">
      <c r="A228" s="668"/>
      <c r="L228" s="668"/>
      <c r="M228" s="668"/>
      <c r="N228" s="668"/>
    </row>
    <row r="229" spans="1:14" hidden="1" x14ac:dyDescent="0.2">
      <c r="A229" s="668"/>
      <c r="L229" s="668"/>
      <c r="M229" s="668"/>
      <c r="N229" s="668"/>
    </row>
    <row r="230" spans="1:14" hidden="1" x14ac:dyDescent="0.2">
      <c r="A230" s="668"/>
      <c r="L230" s="668"/>
      <c r="M230" s="668"/>
      <c r="N230" s="668"/>
    </row>
    <row r="231" spans="1:14" hidden="1" x14ac:dyDescent="0.2">
      <c r="A231" s="668"/>
      <c r="L231" s="668"/>
      <c r="M231" s="668"/>
      <c r="N231" s="668"/>
    </row>
    <row r="232" spans="1:14" hidden="1" x14ac:dyDescent="0.2">
      <c r="A232" s="668"/>
      <c r="L232" s="668"/>
      <c r="M232" s="668"/>
      <c r="N232" s="668"/>
    </row>
    <row r="233" spans="1:14" hidden="1" x14ac:dyDescent="0.2">
      <c r="A233" s="668"/>
      <c r="L233" s="668"/>
      <c r="M233" s="668"/>
      <c r="N233" s="668"/>
    </row>
    <row r="234" spans="1:14" hidden="1" x14ac:dyDescent="0.2">
      <c r="A234" s="668"/>
      <c r="L234" s="668"/>
      <c r="M234" s="668"/>
      <c r="N234" s="668"/>
    </row>
    <row r="235" spans="1:14" hidden="1" x14ac:dyDescent="0.2">
      <c r="A235" s="668"/>
      <c r="L235" s="668"/>
      <c r="M235" s="668"/>
      <c r="N235" s="668"/>
    </row>
    <row r="236" spans="1:14" hidden="1" x14ac:dyDescent="0.2">
      <c r="A236" s="668"/>
      <c r="L236" s="668"/>
      <c r="M236" s="668"/>
      <c r="N236" s="668"/>
    </row>
    <row r="237" spans="1:14" hidden="1" x14ac:dyDescent="0.2">
      <c r="A237" s="668"/>
      <c r="L237" s="668"/>
      <c r="M237" s="668"/>
      <c r="N237" s="668"/>
    </row>
    <row r="238" spans="1:14" hidden="1" x14ac:dyDescent="0.2">
      <c r="A238" s="668"/>
      <c r="L238" s="668"/>
      <c r="M238" s="668"/>
      <c r="N238" s="668"/>
    </row>
    <row r="239" spans="1:14" hidden="1" x14ac:dyDescent="0.2">
      <c r="A239" s="668"/>
      <c r="L239" s="668"/>
      <c r="M239" s="668"/>
      <c r="N239" s="668"/>
    </row>
    <row r="240" spans="1:14" hidden="1" x14ac:dyDescent="0.2">
      <c r="A240" s="668"/>
      <c r="L240" s="668"/>
      <c r="M240" s="668"/>
      <c r="N240" s="668"/>
    </row>
    <row r="241" spans="1:14" hidden="1" x14ac:dyDescent="0.2">
      <c r="A241" s="668"/>
      <c r="L241" s="668"/>
      <c r="M241" s="668"/>
      <c r="N241" s="668"/>
    </row>
    <row r="242" spans="1:14" hidden="1" x14ac:dyDescent="0.2">
      <c r="A242" s="668"/>
      <c r="L242" s="668"/>
      <c r="M242" s="668"/>
      <c r="N242" s="668"/>
    </row>
    <row r="243" spans="1:14" hidden="1" x14ac:dyDescent="0.2">
      <c r="A243" s="668"/>
      <c r="L243" s="668"/>
      <c r="M243" s="668"/>
      <c r="N243" s="668"/>
    </row>
    <row r="244" spans="1:14" hidden="1" x14ac:dyDescent="0.2">
      <c r="A244" s="668"/>
      <c r="L244" s="668"/>
      <c r="M244" s="668"/>
      <c r="N244" s="668"/>
    </row>
    <row r="245" spans="1:14" hidden="1" x14ac:dyDescent="0.2">
      <c r="A245" s="668"/>
      <c r="L245" s="668"/>
      <c r="M245" s="668"/>
      <c r="N245" s="668"/>
    </row>
    <row r="246" spans="1:14" hidden="1" x14ac:dyDescent="0.2">
      <c r="A246" s="668"/>
      <c r="L246" s="668"/>
      <c r="M246" s="668"/>
      <c r="N246" s="668"/>
    </row>
    <row r="247" spans="1:14" hidden="1" x14ac:dyDescent="0.2">
      <c r="A247" s="668"/>
      <c r="L247" s="668"/>
      <c r="M247" s="668"/>
      <c r="N247" s="668"/>
    </row>
    <row r="248" spans="1:14" hidden="1" x14ac:dyDescent="0.2">
      <c r="A248" s="668"/>
      <c r="L248" s="668"/>
      <c r="M248" s="668"/>
      <c r="N248" s="668"/>
    </row>
    <row r="249" spans="1:14" hidden="1" x14ac:dyDescent="0.2">
      <c r="A249" s="668"/>
      <c r="L249" s="668"/>
      <c r="M249" s="668"/>
      <c r="N249" s="668"/>
    </row>
    <row r="250" spans="1:14" hidden="1" x14ac:dyDescent="0.2">
      <c r="A250" s="668"/>
      <c r="L250" s="668"/>
      <c r="M250" s="668"/>
      <c r="N250" s="668"/>
    </row>
    <row r="251" spans="1:14" hidden="1" x14ac:dyDescent="0.2">
      <c r="A251" s="668"/>
      <c r="L251" s="668"/>
      <c r="M251" s="668"/>
      <c r="N251" s="668"/>
    </row>
    <row r="252" spans="1:14" hidden="1" x14ac:dyDescent="0.2">
      <c r="A252" s="668"/>
      <c r="L252" s="668"/>
      <c r="M252" s="668"/>
      <c r="N252" s="668"/>
    </row>
    <row r="253" spans="1:14" hidden="1" x14ac:dyDescent="0.2">
      <c r="A253" s="668"/>
      <c r="L253" s="668"/>
      <c r="M253" s="668"/>
      <c r="N253" s="668"/>
    </row>
    <row r="254" spans="1:14" hidden="1" x14ac:dyDescent="0.2">
      <c r="A254" s="668"/>
      <c r="L254" s="668"/>
      <c r="M254" s="668"/>
      <c r="N254" s="668"/>
    </row>
    <row r="255" spans="1:14" hidden="1" x14ac:dyDescent="0.2">
      <c r="A255" s="668"/>
      <c r="L255" s="668"/>
      <c r="M255" s="668"/>
      <c r="N255" s="668"/>
    </row>
    <row r="256" spans="1:14" hidden="1" x14ac:dyDescent="0.2">
      <c r="A256" s="668"/>
      <c r="L256" s="668"/>
      <c r="M256" s="668"/>
      <c r="N256" s="668"/>
    </row>
    <row r="257" spans="1:14" hidden="1" x14ac:dyDescent="0.2">
      <c r="A257" s="668"/>
      <c r="L257" s="668"/>
      <c r="M257" s="668"/>
      <c r="N257" s="668"/>
    </row>
    <row r="258" spans="1:14" hidden="1" x14ac:dyDescent="0.2">
      <c r="A258" s="668"/>
      <c r="L258" s="668"/>
      <c r="M258" s="668"/>
      <c r="N258" s="668"/>
    </row>
    <row r="259" spans="1:14" hidden="1" x14ac:dyDescent="0.2">
      <c r="A259" s="668"/>
      <c r="L259" s="668"/>
      <c r="M259" s="668"/>
      <c r="N259" s="668"/>
    </row>
    <row r="260" spans="1:14" hidden="1" x14ac:dyDescent="0.2">
      <c r="A260" s="668"/>
      <c r="L260" s="668"/>
      <c r="M260" s="668"/>
      <c r="N260" s="668"/>
    </row>
    <row r="261" spans="1:14" hidden="1" x14ac:dyDescent="0.2">
      <c r="A261" s="668"/>
      <c r="L261" s="668"/>
      <c r="M261" s="668"/>
      <c r="N261" s="668"/>
    </row>
    <row r="262" spans="1:14" hidden="1" x14ac:dyDescent="0.2">
      <c r="A262" s="668"/>
      <c r="L262" s="668"/>
      <c r="M262" s="668"/>
      <c r="N262" s="668"/>
    </row>
    <row r="263" spans="1:14" hidden="1" x14ac:dyDescent="0.2">
      <c r="A263" s="668"/>
      <c r="L263" s="668"/>
      <c r="M263" s="668"/>
      <c r="N263" s="668"/>
    </row>
    <row r="264" spans="1:14" hidden="1" x14ac:dyDescent="0.2">
      <c r="A264" s="668"/>
      <c r="L264" s="668"/>
      <c r="M264" s="668"/>
      <c r="N264" s="668"/>
    </row>
    <row r="265" spans="1:14" hidden="1" x14ac:dyDescent="0.2">
      <c r="A265" s="668"/>
      <c r="L265" s="668"/>
      <c r="M265" s="668"/>
      <c r="N265" s="668"/>
    </row>
    <row r="266" spans="1:14" hidden="1" x14ac:dyDescent="0.2">
      <c r="A266" s="668"/>
      <c r="L266" s="668"/>
      <c r="M266" s="668"/>
      <c r="N266" s="668"/>
    </row>
    <row r="267" spans="1:14" hidden="1" x14ac:dyDescent="0.2">
      <c r="A267" s="668"/>
      <c r="L267" s="668"/>
      <c r="M267" s="668"/>
      <c r="N267" s="668"/>
    </row>
    <row r="268" spans="1:14" hidden="1" x14ac:dyDescent="0.2">
      <c r="A268" s="668"/>
      <c r="L268" s="668"/>
      <c r="M268" s="668"/>
      <c r="N268" s="668"/>
    </row>
    <row r="269" spans="1:14" hidden="1" x14ac:dyDescent="0.2">
      <c r="A269" s="668"/>
      <c r="L269" s="668"/>
      <c r="M269" s="668"/>
      <c r="N269" s="668"/>
    </row>
    <row r="270" spans="1:14" hidden="1" x14ac:dyDescent="0.2">
      <c r="A270" s="668"/>
      <c r="L270" s="668"/>
      <c r="M270" s="668"/>
      <c r="N270" s="668"/>
    </row>
    <row r="271" spans="1:14" hidden="1" x14ac:dyDescent="0.2">
      <c r="A271" s="668"/>
      <c r="L271" s="668"/>
      <c r="M271" s="668"/>
      <c r="N271" s="668"/>
    </row>
    <row r="272" spans="1:14" hidden="1" x14ac:dyDescent="0.2">
      <c r="A272" s="668"/>
      <c r="L272" s="668"/>
      <c r="M272" s="668"/>
      <c r="N272" s="668"/>
    </row>
    <row r="273" spans="1:14" hidden="1" x14ac:dyDescent="0.2">
      <c r="A273" s="668"/>
      <c r="L273" s="668"/>
      <c r="M273" s="668"/>
      <c r="N273" s="668"/>
    </row>
    <row r="274" spans="1:14" hidden="1" x14ac:dyDescent="0.2">
      <c r="A274" s="668"/>
      <c r="L274" s="668"/>
      <c r="M274" s="668"/>
      <c r="N274" s="668"/>
    </row>
    <row r="275" spans="1:14" hidden="1" x14ac:dyDescent="0.2">
      <c r="A275" s="668"/>
      <c r="L275" s="668"/>
      <c r="M275" s="668"/>
      <c r="N275" s="668"/>
    </row>
    <row r="276" spans="1:14" hidden="1" x14ac:dyDescent="0.2">
      <c r="A276" s="668"/>
      <c r="L276" s="668"/>
      <c r="M276" s="668"/>
      <c r="N276" s="668"/>
    </row>
    <row r="277" spans="1:14" hidden="1" x14ac:dyDescent="0.2">
      <c r="A277" s="668"/>
      <c r="L277" s="668"/>
      <c r="M277" s="668"/>
      <c r="N277" s="668"/>
    </row>
    <row r="278" spans="1:14" hidden="1" x14ac:dyDescent="0.2">
      <c r="A278" s="668"/>
      <c r="L278" s="668"/>
      <c r="M278" s="668"/>
      <c r="N278" s="668"/>
    </row>
    <row r="279" spans="1:14" hidden="1" x14ac:dyDescent="0.2">
      <c r="A279" s="668"/>
      <c r="L279" s="668"/>
      <c r="M279" s="668"/>
      <c r="N279" s="668"/>
    </row>
    <row r="280" spans="1:14" hidden="1" x14ac:dyDescent="0.2">
      <c r="A280" s="668"/>
      <c r="L280" s="668"/>
      <c r="M280" s="668"/>
      <c r="N280" s="668"/>
    </row>
    <row r="281" spans="1:14" hidden="1" x14ac:dyDescent="0.2">
      <c r="A281" s="668"/>
      <c r="L281" s="668"/>
      <c r="M281" s="668"/>
      <c r="N281" s="668"/>
    </row>
    <row r="282" spans="1:14" hidden="1" x14ac:dyDescent="0.2">
      <c r="A282" s="668"/>
      <c r="L282" s="668"/>
      <c r="M282" s="668"/>
      <c r="N282" s="668"/>
    </row>
    <row r="283" spans="1:14" hidden="1" x14ac:dyDescent="0.2">
      <c r="A283" s="668"/>
      <c r="L283" s="668"/>
      <c r="M283" s="668"/>
      <c r="N283" s="668"/>
    </row>
    <row r="284" spans="1:14" hidden="1" x14ac:dyDescent="0.2">
      <c r="A284" s="668"/>
      <c r="L284" s="668"/>
      <c r="M284" s="668"/>
      <c r="N284" s="668"/>
    </row>
    <row r="285" spans="1:14" hidden="1" x14ac:dyDescent="0.2">
      <c r="A285" s="668"/>
      <c r="L285" s="668"/>
      <c r="M285" s="668"/>
      <c r="N285" s="668"/>
    </row>
    <row r="286" spans="1:14" hidden="1" x14ac:dyDescent="0.2">
      <c r="A286" s="668"/>
      <c r="L286" s="668"/>
      <c r="M286" s="668"/>
      <c r="N286" s="668"/>
    </row>
    <row r="287" spans="1:14" hidden="1" x14ac:dyDescent="0.2">
      <c r="A287" s="668"/>
      <c r="L287" s="668"/>
      <c r="M287" s="668"/>
      <c r="N287" s="668"/>
    </row>
    <row r="288" spans="1:14" hidden="1" x14ac:dyDescent="0.2">
      <c r="A288" s="668"/>
      <c r="L288" s="668"/>
      <c r="M288" s="668"/>
      <c r="N288" s="668"/>
    </row>
    <row r="289" spans="1:14" hidden="1" x14ac:dyDescent="0.2">
      <c r="A289" s="668"/>
      <c r="L289" s="668"/>
      <c r="M289" s="668"/>
      <c r="N289" s="668"/>
    </row>
    <row r="290" spans="1:14" hidden="1" x14ac:dyDescent="0.2">
      <c r="A290" s="668"/>
      <c r="L290" s="668"/>
      <c r="M290" s="668"/>
      <c r="N290" s="668"/>
    </row>
    <row r="291" spans="1:14" hidden="1" x14ac:dyDescent="0.2">
      <c r="A291" s="668"/>
      <c r="L291" s="668"/>
      <c r="M291" s="668"/>
      <c r="N291" s="668"/>
    </row>
    <row r="292" spans="1:14" hidden="1" x14ac:dyDescent="0.2">
      <c r="A292" s="668"/>
      <c r="L292" s="668"/>
      <c r="M292" s="668"/>
      <c r="N292" s="668"/>
    </row>
    <row r="293" spans="1:14" hidden="1" x14ac:dyDescent="0.2">
      <c r="A293" s="668"/>
      <c r="L293" s="668"/>
      <c r="M293" s="668"/>
      <c r="N293" s="668"/>
    </row>
    <row r="294" spans="1:14" hidden="1" x14ac:dyDescent="0.2">
      <c r="A294" s="668"/>
      <c r="L294" s="668"/>
      <c r="M294" s="668"/>
      <c r="N294" s="668"/>
    </row>
    <row r="295" spans="1:14" hidden="1" x14ac:dyDescent="0.2">
      <c r="A295" s="668"/>
      <c r="L295" s="668"/>
      <c r="M295" s="668"/>
      <c r="N295" s="668"/>
    </row>
    <row r="296" spans="1:14" hidden="1" x14ac:dyDescent="0.2">
      <c r="A296" s="668"/>
      <c r="L296" s="668"/>
      <c r="M296" s="668"/>
      <c r="N296" s="668"/>
    </row>
    <row r="297" spans="1:14" hidden="1" x14ac:dyDescent="0.2">
      <c r="A297" s="668"/>
      <c r="L297" s="668"/>
      <c r="M297" s="668"/>
      <c r="N297" s="668"/>
    </row>
    <row r="298" spans="1:14" x14ac:dyDescent="0.2">
      <c r="A298" s="32"/>
    </row>
    <row r="299" spans="1:14" x14ac:dyDescent="0.2">
      <c r="A299" s="32"/>
      <c r="B299" s="32"/>
      <c r="C299" s="278" t="s">
        <v>190</v>
      </c>
      <c r="D299" s="32"/>
      <c r="E299" s="32"/>
      <c r="F299" s="32"/>
      <c r="G299" s="32"/>
      <c r="H299" s="32"/>
      <c r="I299" s="32"/>
    </row>
    <row r="300" spans="1:14" x14ac:dyDescent="0.2">
      <c r="A300" s="182">
        <v>1</v>
      </c>
      <c r="B300" s="589" t="str">
        <f>IFERROR(INDEX(H$100:H$300,MATCH(A300&amp;". koht",H$101:H$301,0)),"")</f>
        <v>Ivar Viljaste, Kristo Viljaste</v>
      </c>
      <c r="C300" s="55">
        <v>40</v>
      </c>
      <c r="F300" s="32"/>
      <c r="G300" s="32"/>
      <c r="I300" s="32"/>
    </row>
    <row r="301" spans="1:14" x14ac:dyDescent="0.2">
      <c r="A301" s="182">
        <v>2</v>
      </c>
      <c r="B301" s="590" t="str">
        <f t="shared" ref="B301:B316" si="18">IFERROR(INDEX(H$100:H$300,MATCH(A301&amp;". koht",H$101:H$301,0)),"")</f>
        <v>Aarne Välja, Janek Tarto</v>
      </c>
      <c r="C301" s="55">
        <v>34</v>
      </c>
      <c r="F301" s="32"/>
      <c r="G301" s="32"/>
      <c r="I301" s="32"/>
    </row>
    <row r="302" spans="1:14" x14ac:dyDescent="0.2">
      <c r="A302" s="182">
        <v>3</v>
      </c>
      <c r="B302" s="591" t="str">
        <f t="shared" si="18"/>
        <v>Elmo Lageda, Tõnu Piik</v>
      </c>
      <c r="C302" s="55">
        <v>30</v>
      </c>
      <c r="F302" s="32"/>
      <c r="G302" s="32"/>
      <c r="I302" s="32"/>
    </row>
    <row r="303" spans="1:14" x14ac:dyDescent="0.2">
      <c r="A303" s="182">
        <v>4</v>
      </c>
      <c r="B303" s="175" t="str">
        <f t="shared" si="18"/>
        <v>Mait Metsla, Enn Tokman</v>
      </c>
      <c r="C303" s="55">
        <v>26</v>
      </c>
      <c r="F303" s="32"/>
      <c r="G303" s="32"/>
      <c r="I303" s="32"/>
    </row>
    <row r="304" spans="1:14" x14ac:dyDescent="0.2">
      <c r="A304" s="182">
        <v>5</v>
      </c>
      <c r="B304" s="175" t="str">
        <f t="shared" si="18"/>
        <v>Johannes Neiland, Boriss Klubov</v>
      </c>
      <c r="C304" s="32">
        <v>24</v>
      </c>
      <c r="F304" s="32"/>
      <c r="G304" s="32"/>
      <c r="I304" s="32"/>
    </row>
    <row r="305" spans="1:9" x14ac:dyDescent="0.2">
      <c r="A305" s="182">
        <v>6</v>
      </c>
      <c r="B305" s="175" t="str">
        <f t="shared" si="18"/>
        <v>Tõnu Kapper, Vladimir Ogneštšikov</v>
      </c>
      <c r="C305" s="32">
        <v>22</v>
      </c>
      <c r="F305" s="32"/>
      <c r="G305" s="32"/>
      <c r="I305" s="32"/>
    </row>
    <row r="306" spans="1:9" x14ac:dyDescent="0.2">
      <c r="A306" s="182">
        <v>7</v>
      </c>
      <c r="B306" s="175" t="str">
        <f t="shared" si="18"/>
        <v>Jaan Sepp, Oskar Sepp</v>
      </c>
      <c r="C306" s="32">
        <v>20</v>
      </c>
      <c r="F306" s="32"/>
      <c r="G306" s="32"/>
      <c r="I306" s="32"/>
    </row>
    <row r="307" spans="1:9" x14ac:dyDescent="0.2">
      <c r="A307" s="182">
        <v>8</v>
      </c>
      <c r="B307" s="175" t="str">
        <f t="shared" si="18"/>
        <v>Karla Purgats, Lemmit Toomra</v>
      </c>
      <c r="C307" s="32">
        <v>18</v>
      </c>
      <c r="F307" s="32"/>
      <c r="G307" s="32"/>
      <c r="I307" s="32"/>
    </row>
    <row r="308" spans="1:9" x14ac:dyDescent="0.2">
      <c r="A308" s="182">
        <v>9</v>
      </c>
      <c r="B308" s="175" t="str">
        <f t="shared" si="18"/>
        <v>Kenneth Muusikus, Peep Peenema</v>
      </c>
      <c r="C308" s="32">
        <v>16</v>
      </c>
      <c r="F308" s="32"/>
      <c r="G308" s="32"/>
      <c r="I308" s="32"/>
    </row>
    <row r="309" spans="1:9" x14ac:dyDescent="0.2">
      <c r="A309" s="182">
        <v>10</v>
      </c>
      <c r="B309" s="175" t="str">
        <f t="shared" si="18"/>
        <v>Oksana Sažina, Oleg Rõndenkov</v>
      </c>
      <c r="C309" s="32">
        <v>14</v>
      </c>
    </row>
    <row r="310" spans="1:9" x14ac:dyDescent="0.2">
      <c r="A310" s="182">
        <v>11</v>
      </c>
      <c r="B310" s="175" t="str">
        <f t="shared" si="18"/>
        <v>Andrei Grintšak, Emil Murzajev</v>
      </c>
      <c r="C310" s="32">
        <v>12</v>
      </c>
    </row>
    <row r="311" spans="1:9" x14ac:dyDescent="0.2">
      <c r="A311" s="182">
        <v>12</v>
      </c>
      <c r="B311" s="175" t="str">
        <f t="shared" si="18"/>
        <v>Dima Korovin, Valeri Korovin</v>
      </c>
      <c r="C311" s="32">
        <v>10</v>
      </c>
    </row>
    <row r="312" spans="1:9" hidden="1" x14ac:dyDescent="0.2">
      <c r="A312" s="182">
        <v>13</v>
      </c>
      <c r="B312" s="175" t="str">
        <f t="shared" si="18"/>
        <v/>
      </c>
      <c r="C312" s="32">
        <v>8</v>
      </c>
    </row>
    <row r="313" spans="1:9" hidden="1" x14ac:dyDescent="0.2">
      <c r="A313" s="182">
        <v>14</v>
      </c>
      <c r="B313" s="175" t="str">
        <f t="shared" si="18"/>
        <v/>
      </c>
      <c r="C313" s="32">
        <v>6</v>
      </c>
    </row>
    <row r="314" spans="1:9" hidden="1" x14ac:dyDescent="0.2">
      <c r="A314" s="182">
        <v>15</v>
      </c>
      <c r="B314" s="175" t="str">
        <f t="shared" si="18"/>
        <v/>
      </c>
      <c r="C314" s="32">
        <v>4</v>
      </c>
    </row>
    <row r="315" spans="1:9" hidden="1" x14ac:dyDescent="0.2">
      <c r="A315" s="182">
        <v>16</v>
      </c>
      <c r="B315" s="175" t="str">
        <f t="shared" si="18"/>
        <v/>
      </c>
      <c r="C315" s="32">
        <v>2</v>
      </c>
    </row>
    <row r="316" spans="1:9" hidden="1" x14ac:dyDescent="0.2">
      <c r="A316" s="182">
        <v>17</v>
      </c>
      <c r="B316" s="175" t="str">
        <f t="shared" si="18"/>
        <v/>
      </c>
      <c r="C316" s="32">
        <v>1</v>
      </c>
    </row>
  </sheetData>
  <conditionalFormatting sqref="B300:B316">
    <cfRule type="containsBlanks" dxfId="2543" priority="355">
      <formula>LEN(TRIM(B300))=0</formula>
    </cfRule>
    <cfRule type="duplicateValues" dxfId="2542" priority="356"/>
  </conditionalFormatting>
  <conditionalFormatting sqref="D7 C8">
    <cfRule type="aboveAverage" dxfId="2541" priority="354"/>
  </conditionalFormatting>
  <conditionalFormatting sqref="E7 C9">
    <cfRule type="aboveAverage" dxfId="2540" priority="353"/>
  </conditionalFormatting>
  <conditionalFormatting sqref="F7 C10">
    <cfRule type="aboveAverage" dxfId="2539" priority="352"/>
  </conditionalFormatting>
  <conditionalFormatting sqref="E8 D9">
    <cfRule type="aboveAverage" dxfId="2538" priority="351"/>
  </conditionalFormatting>
  <conditionalFormatting sqref="G7 C11">
    <cfRule type="aboveAverage" dxfId="2537" priority="350"/>
  </conditionalFormatting>
  <conditionalFormatting sqref="F8 D10">
    <cfRule type="aboveAverage" dxfId="2536" priority="349"/>
  </conditionalFormatting>
  <conditionalFormatting sqref="G8 D11">
    <cfRule type="aboveAverage" dxfId="2535" priority="348"/>
  </conditionalFormatting>
  <conditionalFormatting sqref="F9 E10">
    <cfRule type="aboveAverage" dxfId="2534" priority="347"/>
  </conditionalFormatting>
  <conditionalFormatting sqref="G9 E11">
    <cfRule type="aboveAverage" dxfId="2533" priority="346"/>
  </conditionalFormatting>
  <conditionalFormatting sqref="F11 G10">
    <cfRule type="aboveAverage" dxfId="2532" priority="345"/>
  </conditionalFormatting>
  <conditionalFormatting sqref="K14:K18">
    <cfRule type="expression" dxfId="2531" priority="337">
      <formula>AND(J14=3,IF(COUNTIF(J$14:J$18,"=3")&gt;=2,TRUE))</formula>
    </cfRule>
    <cfRule type="expression" dxfId="2530" priority="343">
      <formula>AND(J14=1,IF(COUNTIF(J$14:J$18,"=1")&gt;=2,TRUE))</formula>
    </cfRule>
    <cfRule type="expression" dxfId="2529" priority="344">
      <formula>AND(J14=2,IF(COUNTIF(J$14:J$18,"=2")&gt;=2,TRUE))</formula>
    </cfRule>
  </conditionalFormatting>
  <conditionalFormatting sqref="K21:K25">
    <cfRule type="expression" dxfId="2528" priority="336">
      <formula>AND(J21=3,IF(COUNTIF(J$21:J$25,"=3")&gt;=2,TRUE))</formula>
    </cfRule>
    <cfRule type="expression" dxfId="2527" priority="341">
      <formula>AND(J21=1,IF(COUNTIF(J$21:J$25,"=1")&gt;=2,TRUE))</formula>
    </cfRule>
    <cfRule type="expression" dxfId="2526" priority="342">
      <formula>AND(J21=2,IF(COUNTIF(J$21:J$25,"=2")&gt;=2,TRUE))</formula>
    </cfRule>
  </conditionalFormatting>
  <conditionalFormatting sqref="H14:H18">
    <cfRule type="expression" dxfId="2525" priority="328">
      <formula>AND(J14=1,IF(COUNTIF(J$14:J$18,"=1")&gt;=2,TRUE))</formula>
    </cfRule>
    <cfRule type="expression" dxfId="2524" priority="332">
      <formula>AND(J14=3,IF(COUNTIF(J$14:J$18,"=3")&gt;=2,TRUE))</formula>
    </cfRule>
    <cfRule type="expression" dxfId="2523" priority="333">
      <formula>AND(J14=2,IF(COUNTIF(J$14:J$18,"=2")&gt;=2,TRUE))</formula>
    </cfRule>
  </conditionalFormatting>
  <conditionalFormatting sqref="H21:H25">
    <cfRule type="expression" dxfId="2522" priority="329">
      <formula>AND(J21=1,IF(COUNTIF(J$21:J$25,"=1")&gt;=2,TRUE))</formula>
    </cfRule>
    <cfRule type="expression" dxfId="2521" priority="330">
      <formula>AND(J21=3,IF(COUNTIF(J$21:J$25,"=3")&gt;=2,TRUE))</formula>
    </cfRule>
    <cfRule type="expression" dxfId="2520" priority="331">
      <formula>AND(J21=2,IF(COUNTIF(J$21:J$25,"=2")&gt;=2,TRUE))</formula>
    </cfRule>
  </conditionalFormatting>
  <conditionalFormatting sqref="C69 C73:C74">
    <cfRule type="aboveAverage" dxfId="2519" priority="326"/>
  </conditionalFormatting>
  <conditionalFormatting sqref="D69 D73:D74">
    <cfRule type="aboveAverage" dxfId="2518" priority="325"/>
  </conditionalFormatting>
  <conditionalFormatting sqref="K28:K32">
    <cfRule type="expression" dxfId="2517" priority="322">
      <formula>AND(J28=3,IF(COUNTIF(J$28:J$32,"=3")&gt;=2,TRUE))</formula>
    </cfRule>
    <cfRule type="expression" dxfId="2516" priority="323">
      <formula>AND(J28=1,IF(COUNTIF(J$28:J$32,"=1")&gt;=2,TRUE))</formula>
    </cfRule>
    <cfRule type="expression" dxfId="2515" priority="324">
      <formula>AND(J28=2,IF(COUNTIF(J$28:J$32,"=2")&gt;=2,TRUE))</formula>
    </cfRule>
  </conditionalFormatting>
  <conditionalFormatting sqref="H28:H32">
    <cfRule type="expression" dxfId="2514" priority="319">
      <formula>AND(J28=1,IF(COUNTIF(J$28:J$32,"=1")&gt;=2,TRUE))</formula>
    </cfRule>
    <cfRule type="expression" dxfId="2513" priority="320">
      <formula>AND(J28=3,IF(COUNTIF(J$28:J$32,"=3")&gt;=2,TRUE))</formula>
    </cfRule>
    <cfRule type="expression" dxfId="2512" priority="321">
      <formula>AND(J28=2,IF(COUNTIF(J$28:J$32,"=2")&gt;=2,TRUE))</formula>
    </cfRule>
  </conditionalFormatting>
  <conditionalFormatting sqref="D14 C15">
    <cfRule type="aboveAverage" dxfId="2511" priority="318"/>
  </conditionalFormatting>
  <conditionalFormatting sqref="E14 C16">
    <cfRule type="aboveAverage" dxfId="2510" priority="317"/>
  </conditionalFormatting>
  <conditionalFormatting sqref="F14 C17">
    <cfRule type="aboveAverage" dxfId="2509" priority="316"/>
  </conditionalFormatting>
  <conditionalFormatting sqref="E15 D16">
    <cfRule type="aboveAverage" dxfId="2508" priority="315"/>
  </conditionalFormatting>
  <conditionalFormatting sqref="G14 C18">
    <cfRule type="aboveAverage" dxfId="2507" priority="314"/>
  </conditionalFormatting>
  <conditionalFormatting sqref="F15 D17">
    <cfRule type="aboveAverage" dxfId="2506" priority="313"/>
  </conditionalFormatting>
  <conditionalFormatting sqref="G15 D18">
    <cfRule type="aboveAverage" dxfId="2505" priority="312"/>
  </conditionalFormatting>
  <conditionalFormatting sqref="F16 E17">
    <cfRule type="aboveAverage" dxfId="2504" priority="311"/>
  </conditionalFormatting>
  <conditionalFormatting sqref="G16 E18">
    <cfRule type="aboveAverage" dxfId="2503" priority="310"/>
  </conditionalFormatting>
  <conditionalFormatting sqref="F18 G17">
    <cfRule type="aboveAverage" dxfId="2502" priority="309"/>
  </conditionalFormatting>
  <conditionalFormatting sqref="D21 C22">
    <cfRule type="aboveAverage" dxfId="2501" priority="308"/>
  </conditionalFormatting>
  <conditionalFormatting sqref="E21 C23">
    <cfRule type="aboveAverage" dxfId="2500" priority="307"/>
  </conditionalFormatting>
  <conditionalFormatting sqref="F21 C24">
    <cfRule type="aboveAverage" dxfId="2499" priority="306"/>
  </conditionalFormatting>
  <conditionalFormatting sqref="E22 D23">
    <cfRule type="aboveAverage" dxfId="2498" priority="305"/>
  </conditionalFormatting>
  <conditionalFormatting sqref="G21 C25">
    <cfRule type="aboveAverage" dxfId="2497" priority="304"/>
  </conditionalFormatting>
  <conditionalFormatting sqref="F22 D24">
    <cfRule type="aboveAverage" dxfId="2496" priority="303"/>
  </conditionalFormatting>
  <conditionalFormatting sqref="G22 D25">
    <cfRule type="aboveAverage" dxfId="2495" priority="302"/>
  </conditionalFormatting>
  <conditionalFormatting sqref="F23 E24">
    <cfRule type="aboveAverage" dxfId="2494" priority="301"/>
  </conditionalFormatting>
  <conditionalFormatting sqref="G23 E25">
    <cfRule type="aboveAverage" dxfId="2493" priority="300"/>
  </conditionalFormatting>
  <conditionalFormatting sqref="F25 G24">
    <cfRule type="aboveAverage" dxfId="2492" priority="299"/>
  </conditionalFormatting>
  <conditionalFormatting sqref="D28 C29">
    <cfRule type="aboveAverage" dxfId="2491" priority="298"/>
  </conditionalFormatting>
  <conditionalFormatting sqref="E28 C30">
    <cfRule type="aboveAverage" dxfId="2490" priority="297"/>
  </conditionalFormatting>
  <conditionalFormatting sqref="F28 C31">
    <cfRule type="aboveAverage" dxfId="2489" priority="296"/>
  </conditionalFormatting>
  <conditionalFormatting sqref="E29 D30">
    <cfRule type="aboveAverage" dxfId="2488" priority="295"/>
  </conditionalFormatting>
  <conditionalFormatting sqref="G28 C32">
    <cfRule type="aboveAverage" dxfId="2487" priority="294"/>
  </conditionalFormatting>
  <conditionalFormatting sqref="F29 D31">
    <cfRule type="aboveAverage" dxfId="2486" priority="293"/>
  </conditionalFormatting>
  <conditionalFormatting sqref="G29 D32">
    <cfRule type="aboveAverage" dxfId="2485" priority="292"/>
  </conditionalFormatting>
  <conditionalFormatting sqref="F30 E31">
    <cfRule type="aboveAverage" dxfId="2484" priority="291"/>
  </conditionalFormatting>
  <conditionalFormatting sqref="G30 E32">
    <cfRule type="aboveAverage" dxfId="2483" priority="290"/>
  </conditionalFormatting>
  <conditionalFormatting sqref="F32 G31">
    <cfRule type="aboveAverage" dxfId="2482" priority="289"/>
  </conditionalFormatting>
  <conditionalFormatting sqref="D35 C36">
    <cfRule type="aboveAverage" dxfId="2481" priority="287"/>
  </conditionalFormatting>
  <conditionalFormatting sqref="E35 C37">
    <cfRule type="aboveAverage" dxfId="2480" priority="286"/>
  </conditionalFormatting>
  <conditionalFormatting sqref="F35 C38">
    <cfRule type="aboveAverage" dxfId="2479" priority="285"/>
  </conditionalFormatting>
  <conditionalFormatting sqref="E36 D37">
    <cfRule type="aboveAverage" dxfId="2478" priority="284"/>
  </conditionalFormatting>
  <conditionalFormatting sqref="G35 C39">
    <cfRule type="aboveAverage" dxfId="2477" priority="283"/>
  </conditionalFormatting>
  <conditionalFormatting sqref="F36 D38">
    <cfRule type="aboveAverage" dxfId="2476" priority="282"/>
  </conditionalFormatting>
  <conditionalFormatting sqref="G36 D39">
    <cfRule type="aboveAverage" dxfId="2475" priority="281"/>
  </conditionalFormatting>
  <conditionalFormatting sqref="F37 E38">
    <cfRule type="aboveAverage" dxfId="2474" priority="280"/>
  </conditionalFormatting>
  <conditionalFormatting sqref="G37 E39">
    <cfRule type="aboveAverage" dxfId="2473" priority="279"/>
  </conditionalFormatting>
  <conditionalFormatting sqref="F39 G38">
    <cfRule type="aboveAverage" dxfId="2472" priority="278"/>
  </conditionalFormatting>
  <conditionalFormatting sqref="K42:K46">
    <cfRule type="expression" dxfId="2471" priority="270">
      <formula>AND(J42=3,IF(COUNTIF(J$14:J$18,"=3")&gt;=2,TRUE))</formula>
    </cfRule>
    <cfRule type="expression" dxfId="2470" priority="276">
      <formula>AND(J42=1,IF(COUNTIF(J$14:J$18,"=1")&gt;=2,TRUE))</formula>
    </cfRule>
    <cfRule type="expression" dxfId="2469" priority="277">
      <formula>AND(J42=2,IF(COUNTIF(J$14:J$18,"=2")&gt;=2,TRUE))</formula>
    </cfRule>
  </conditionalFormatting>
  <conditionalFormatting sqref="K49:K53">
    <cfRule type="expression" dxfId="2468" priority="269">
      <formula>AND(J49=3,IF(COUNTIF(J$21:J$25,"=3")&gt;=2,TRUE))</formula>
    </cfRule>
    <cfRule type="expression" dxfId="2467" priority="274">
      <formula>AND(J49=1,IF(COUNTIF(J$21:J$25,"=1")&gt;=2,TRUE))</formula>
    </cfRule>
    <cfRule type="expression" dxfId="2466" priority="275">
      <formula>AND(J49=2,IF(COUNTIF(J$21:J$25,"=2")&gt;=2,TRUE))</formula>
    </cfRule>
  </conditionalFormatting>
  <conditionalFormatting sqref="K35:K39">
    <cfRule type="expression" dxfId="2465" priority="271">
      <formula>AND(J35=3,IF(COUNTIF(J$7:J$11,"=3")&gt;=2,TRUE))</formula>
    </cfRule>
    <cfRule type="expression" dxfId="2464" priority="272">
      <formula>AND(J35=1,IF(COUNTIF(J$7:J$11,"=1")&gt;=2,TRUE))</formula>
    </cfRule>
    <cfRule type="expression" dxfId="2463" priority="273">
      <formula>AND(J35=2,IF(COUNTIF(J$7:J$11,"=2")&gt;=2,TRUE))</formula>
    </cfRule>
  </conditionalFormatting>
  <conditionalFormatting sqref="H35:H39">
    <cfRule type="expression" dxfId="2462" priority="260">
      <formula>AND(J35=1,IF(COUNTIF(J$7:J$11,"=1")&gt;=2,TRUE))</formula>
    </cfRule>
    <cfRule type="expression" dxfId="2461" priority="267">
      <formula>AND(J35=3,IF(COUNTIF(J$7:J$11,"=3")&gt;=2,TRUE))</formula>
    </cfRule>
    <cfRule type="expression" dxfId="2460" priority="268">
      <formula>AND(J35=2,IF(COUNTIF(J$7:J$11,"=2")&gt;=2,TRUE))</formula>
    </cfRule>
  </conditionalFormatting>
  <conditionalFormatting sqref="H42:H46">
    <cfRule type="expression" dxfId="2459" priority="261">
      <formula>AND(J42=1,IF(COUNTIF(J$14:J$18,"=1")&gt;=2,TRUE))</formula>
    </cfRule>
    <cfRule type="expression" dxfId="2458" priority="265">
      <formula>AND(J42=3,IF(COUNTIF(J$14:J$18,"=3")&gt;=2,TRUE))</formula>
    </cfRule>
    <cfRule type="expression" dxfId="2457" priority="266">
      <formula>AND(J42=2,IF(COUNTIF(J$14:J$18,"=2")&gt;=2,TRUE))</formula>
    </cfRule>
  </conditionalFormatting>
  <conditionalFormatting sqref="H49:H53">
    <cfRule type="expression" dxfId="2456" priority="262">
      <formula>AND(J49=1,IF(COUNTIF(J$21:J$25,"=1")&gt;=2,TRUE))</formula>
    </cfRule>
    <cfRule type="expression" dxfId="2455" priority="263">
      <formula>AND(J49=3,IF(COUNTIF(J$21:J$25,"=3")&gt;=2,TRUE))</formula>
    </cfRule>
    <cfRule type="expression" dxfId="2454" priority="264">
      <formula>AND(J49=2,IF(COUNTIF(J$21:J$25,"=2")&gt;=2,TRUE))</formula>
    </cfRule>
  </conditionalFormatting>
  <conditionalFormatting sqref="K56:K60">
    <cfRule type="expression" dxfId="2453" priority="257">
      <formula>AND(J56=3,IF(COUNTIF(J$28:J$32,"=3")&gt;=2,TRUE))</formula>
    </cfRule>
    <cfRule type="expression" dxfId="2452" priority="258">
      <formula>AND(J56=1,IF(COUNTIF(J$28:J$32,"=1")&gt;=2,TRUE))</formula>
    </cfRule>
    <cfRule type="expression" dxfId="2451" priority="259">
      <formula>AND(J56=2,IF(COUNTIF(J$28:J$32,"=2")&gt;=2,TRUE))</formula>
    </cfRule>
  </conditionalFormatting>
  <conditionalFormatting sqref="H56:H60">
    <cfRule type="expression" dxfId="2450" priority="254">
      <formula>AND(J56=1,IF(COUNTIF(J$28:J$32,"=1")&gt;=2,TRUE))</formula>
    </cfRule>
    <cfRule type="expression" dxfId="2449" priority="255">
      <formula>AND(J56=3,IF(COUNTIF(J$28:J$32,"=3")&gt;=2,TRUE))</formula>
    </cfRule>
    <cfRule type="expression" dxfId="2448" priority="256">
      <formula>AND(J56=2,IF(COUNTIF(J$28:J$32,"=2")&gt;=2,TRUE))</formula>
    </cfRule>
  </conditionalFormatting>
  <conditionalFormatting sqref="B37">
    <cfRule type="duplicateValues" dxfId="2447" priority="288"/>
  </conditionalFormatting>
  <conditionalFormatting sqref="D42 C43">
    <cfRule type="aboveAverage" dxfId="2446" priority="252"/>
  </conditionalFormatting>
  <conditionalFormatting sqref="E42 C44">
    <cfRule type="aboveAverage" dxfId="2445" priority="251"/>
  </conditionalFormatting>
  <conditionalFormatting sqref="F42 C45">
    <cfRule type="aboveAverage" dxfId="2444" priority="250"/>
  </conditionalFormatting>
  <conditionalFormatting sqref="E43 D44">
    <cfRule type="aboveAverage" dxfId="2443" priority="249"/>
  </conditionalFormatting>
  <conditionalFormatting sqref="G42 C46">
    <cfRule type="aboveAverage" dxfId="2442" priority="248"/>
  </conditionalFormatting>
  <conditionalFormatting sqref="F43 D45">
    <cfRule type="aboveAverage" dxfId="2441" priority="247"/>
  </conditionalFormatting>
  <conditionalFormatting sqref="G43 D46">
    <cfRule type="aboveAverage" dxfId="2440" priority="246"/>
  </conditionalFormatting>
  <conditionalFormatting sqref="F44 E45">
    <cfRule type="aboveAverage" dxfId="2439" priority="245"/>
  </conditionalFormatting>
  <conditionalFormatting sqref="G44 E46">
    <cfRule type="aboveAverage" dxfId="2438" priority="244"/>
  </conditionalFormatting>
  <conditionalFormatting sqref="F46 G45">
    <cfRule type="aboveAverage" dxfId="2437" priority="243"/>
  </conditionalFormatting>
  <conditionalFormatting sqref="B44">
    <cfRule type="duplicateValues" dxfId="2436" priority="253"/>
  </conditionalFormatting>
  <conditionalFormatting sqref="D49 C50">
    <cfRule type="aboveAverage" dxfId="2435" priority="241"/>
  </conditionalFormatting>
  <conditionalFormatting sqref="E49 C51">
    <cfRule type="aboveAverage" dxfId="2434" priority="240"/>
  </conditionalFormatting>
  <conditionalFormatting sqref="F49 C52">
    <cfRule type="aboveAverage" dxfId="2433" priority="239"/>
  </conditionalFormatting>
  <conditionalFormatting sqref="E50 D51">
    <cfRule type="aboveAverage" dxfId="2432" priority="238"/>
  </conditionalFormatting>
  <conditionalFormatting sqref="G49 C53">
    <cfRule type="aboveAverage" dxfId="2431" priority="237"/>
  </conditionalFormatting>
  <conditionalFormatting sqref="F50 D52">
    <cfRule type="aboveAverage" dxfId="2430" priority="236"/>
  </conditionalFormatting>
  <conditionalFormatting sqref="G50 D53">
    <cfRule type="aboveAverage" dxfId="2429" priority="235"/>
  </conditionalFormatting>
  <conditionalFormatting sqref="F51 E52">
    <cfRule type="aboveAverage" dxfId="2428" priority="234"/>
  </conditionalFormatting>
  <conditionalFormatting sqref="G51 E53">
    <cfRule type="aboveAverage" dxfId="2427" priority="233"/>
  </conditionalFormatting>
  <conditionalFormatting sqref="F53 G52">
    <cfRule type="aboveAverage" dxfId="2426" priority="232"/>
  </conditionalFormatting>
  <conditionalFormatting sqref="B51">
    <cfRule type="duplicateValues" dxfId="2425" priority="242"/>
  </conditionalFormatting>
  <conditionalFormatting sqref="D56 C57">
    <cfRule type="aboveAverage" dxfId="2424" priority="230"/>
  </conditionalFormatting>
  <conditionalFormatting sqref="E56 C58">
    <cfRule type="aboveAverage" dxfId="2423" priority="229"/>
  </conditionalFormatting>
  <conditionalFormatting sqref="F56 C59">
    <cfRule type="aboveAverage" dxfId="2422" priority="228"/>
  </conditionalFormatting>
  <conditionalFormatting sqref="E57 D58">
    <cfRule type="aboveAverage" dxfId="2421" priority="227"/>
  </conditionalFormatting>
  <conditionalFormatting sqref="G56 C60">
    <cfRule type="aboveAverage" dxfId="2420" priority="226"/>
  </conditionalFormatting>
  <conditionalFormatting sqref="F57 D59">
    <cfRule type="aboveAverage" dxfId="2419" priority="225"/>
  </conditionalFormatting>
  <conditionalFormatting sqref="G57 D60">
    <cfRule type="aboveAverage" dxfId="2418" priority="224"/>
  </conditionalFormatting>
  <conditionalFormatting sqref="F58 E59">
    <cfRule type="aboveAverage" dxfId="2417" priority="223"/>
  </conditionalFormatting>
  <conditionalFormatting sqref="G58 E60">
    <cfRule type="aboveAverage" dxfId="2416" priority="222"/>
  </conditionalFormatting>
  <conditionalFormatting sqref="F60 G59">
    <cfRule type="aboveAverage" dxfId="2415" priority="221"/>
  </conditionalFormatting>
  <conditionalFormatting sqref="B58">
    <cfRule type="duplicateValues" dxfId="2414" priority="231"/>
  </conditionalFormatting>
  <conditionalFormatting sqref="A101:A115">
    <cfRule type="cellIs" dxfId="2413" priority="219" operator="equal">
      <formula>"-"</formula>
    </cfRule>
    <cfRule type="duplicateValues" dxfId="2412" priority="220"/>
  </conditionalFormatting>
  <conditionalFormatting sqref="G123 G127">
    <cfRule type="aboveAverage" dxfId="2411" priority="218"/>
  </conditionalFormatting>
  <conditionalFormatting sqref="G130 G132">
    <cfRule type="aboveAverage" dxfId="2410" priority="217"/>
  </conditionalFormatting>
  <conditionalFormatting sqref="G123 G127 G130 G132">
    <cfRule type="containsBlanks" dxfId="2409" priority="216">
      <formula>LEN(TRIM(G123))=0</formula>
    </cfRule>
  </conditionalFormatting>
  <conditionalFormatting sqref="C113 C115">
    <cfRule type="aboveAverage" dxfId="2408" priority="213"/>
  </conditionalFormatting>
  <conditionalFormatting sqref="C113 C115">
    <cfRule type="containsBlanks" dxfId="2407" priority="212">
      <formula>LEN(TRIM(C113))=0</formula>
    </cfRule>
  </conditionalFormatting>
  <conditionalFormatting sqref="C101 C103">
    <cfRule type="aboveAverage" dxfId="2406" priority="211"/>
  </conditionalFormatting>
  <conditionalFormatting sqref="C101 C103">
    <cfRule type="containsBlanks" dxfId="2405" priority="210">
      <formula>LEN(TRIM(C101))=0</formula>
    </cfRule>
  </conditionalFormatting>
  <conditionalFormatting sqref="G116 G118">
    <cfRule type="aboveAverage" dxfId="2404" priority="205"/>
  </conditionalFormatting>
  <conditionalFormatting sqref="G116 G118">
    <cfRule type="containsBlanks" dxfId="2403" priority="204">
      <formula>LEN(TRIM(G116))=0</formula>
    </cfRule>
  </conditionalFormatting>
  <conditionalFormatting sqref="G104 G112">
    <cfRule type="containsBlanks" dxfId="2402" priority="200">
      <formula>LEN(TRIM(G104))=0</formula>
    </cfRule>
    <cfRule type="aboveAverage" dxfId="2401" priority="201"/>
  </conditionalFormatting>
  <conditionalFormatting sqref="E102 E106">
    <cfRule type="containsBlanks" dxfId="2400" priority="194">
      <formula>LEN(TRIM(E102))=0</formula>
    </cfRule>
    <cfRule type="aboveAverage" dxfId="2399" priority="195"/>
  </conditionalFormatting>
  <conditionalFormatting sqref="I10:I11">
    <cfRule type="expression" dxfId="2398" priority="161">
      <formula>FIND(2,I10,1)</formula>
    </cfRule>
    <cfRule type="expression" dxfId="2397" priority="162">
      <formula>FIND(1,I10,1)</formula>
    </cfRule>
  </conditionalFormatting>
  <conditionalFormatting sqref="I7:I9">
    <cfRule type="expression" dxfId="2396" priority="159">
      <formula>FIND(2,I7,1)</formula>
    </cfRule>
    <cfRule type="expression" dxfId="2395" priority="160">
      <formula>FIND(1,I7,1)</formula>
    </cfRule>
  </conditionalFormatting>
  <conditionalFormatting sqref="I14:I18">
    <cfRule type="expression" dxfId="2394" priority="157">
      <formula>FIND(2,I14,1)</formula>
    </cfRule>
    <cfRule type="expression" dxfId="2393" priority="158">
      <formula>FIND(1,I14,1)</formula>
    </cfRule>
  </conditionalFormatting>
  <conditionalFormatting sqref="I21:I25">
    <cfRule type="expression" dxfId="2392" priority="155">
      <formula>FIND(2,I21,1)</formula>
    </cfRule>
    <cfRule type="expression" dxfId="2391" priority="156">
      <formula>FIND(1,I21,1)</formula>
    </cfRule>
  </conditionalFormatting>
  <conditionalFormatting sqref="I28:I32">
    <cfRule type="expression" dxfId="2390" priority="153">
      <formula>FIND(2,I28,1)</formula>
    </cfRule>
    <cfRule type="expression" dxfId="2389" priority="154">
      <formula>FIND(1,I28,1)</formula>
    </cfRule>
  </conditionalFormatting>
  <conditionalFormatting sqref="I38:I39">
    <cfRule type="expression" dxfId="2388" priority="151">
      <formula>FIND(2,I38,1)</formula>
    </cfRule>
    <cfRule type="expression" dxfId="2387" priority="152">
      <formula>FIND(1,I38,1)</formula>
    </cfRule>
  </conditionalFormatting>
  <conditionalFormatting sqref="I35:I37">
    <cfRule type="expression" dxfId="2386" priority="149">
      <formula>FIND(2,I35,1)</formula>
    </cfRule>
    <cfRule type="expression" dxfId="2385" priority="150">
      <formula>FIND(1,I35,1)</formula>
    </cfRule>
  </conditionalFormatting>
  <conditionalFormatting sqref="I42:I46">
    <cfRule type="expression" dxfId="2384" priority="147">
      <formula>FIND(2,I42,1)</formula>
    </cfRule>
    <cfRule type="expression" dxfId="2383" priority="148">
      <formula>FIND(1,I42,1)</formula>
    </cfRule>
  </conditionalFormatting>
  <conditionalFormatting sqref="I49:I53">
    <cfRule type="expression" dxfId="2382" priority="145">
      <formula>FIND(2,I49,1)</formula>
    </cfRule>
    <cfRule type="expression" dxfId="2381" priority="146">
      <formula>FIND(1,I49,1)</formula>
    </cfRule>
  </conditionalFormatting>
  <conditionalFormatting sqref="I56:I60">
    <cfRule type="expression" dxfId="2380" priority="143">
      <formula>FIND(2,I56,1)</formula>
    </cfRule>
    <cfRule type="expression" dxfId="2379" priority="144">
      <formula>FIND(1,I56,1)</formula>
    </cfRule>
  </conditionalFormatting>
  <conditionalFormatting sqref="C113 C115">
    <cfRule type="aboveAverage" dxfId="2378" priority="138"/>
  </conditionalFormatting>
  <conditionalFormatting sqref="C113 C115">
    <cfRule type="containsBlanks" dxfId="2377" priority="137">
      <formula>LEN(TRIM(C113))=0</formula>
    </cfRule>
  </conditionalFormatting>
  <conditionalFormatting sqref="B30">
    <cfRule type="duplicateValues" dxfId="2376" priority="100"/>
  </conditionalFormatting>
  <conditionalFormatting sqref="B7">
    <cfRule type="duplicateValues" dxfId="2375" priority="99"/>
  </conditionalFormatting>
  <conditionalFormatting sqref="B9">
    <cfRule type="duplicateValues" dxfId="2374" priority="98"/>
  </conditionalFormatting>
  <conditionalFormatting sqref="B14">
    <cfRule type="duplicateValues" dxfId="2373" priority="97"/>
  </conditionalFormatting>
  <conditionalFormatting sqref="B15">
    <cfRule type="duplicateValues" dxfId="2372" priority="96"/>
  </conditionalFormatting>
  <conditionalFormatting sqref="C105 C107">
    <cfRule type="aboveAverage" dxfId="2371" priority="95"/>
  </conditionalFormatting>
  <conditionalFormatting sqref="C105 C107">
    <cfRule type="containsBlanks" dxfId="2370" priority="94">
      <formula>LEN(TRIM(C105))=0</formula>
    </cfRule>
  </conditionalFormatting>
  <conditionalFormatting sqref="C109 C111">
    <cfRule type="aboveAverage" dxfId="2369" priority="93"/>
  </conditionalFormatting>
  <conditionalFormatting sqref="C109 C111">
    <cfRule type="containsBlanks" dxfId="2368" priority="92">
      <formula>LEN(TRIM(C109))=0</formula>
    </cfRule>
  </conditionalFormatting>
  <conditionalFormatting sqref="E110 E114">
    <cfRule type="containsBlanks" dxfId="2367" priority="90">
      <formula>LEN(TRIM(E110))=0</formula>
    </cfRule>
    <cfRule type="aboveAverage" dxfId="2366" priority="91"/>
  </conditionalFormatting>
  <conditionalFormatting sqref="E122 E124">
    <cfRule type="aboveAverage" dxfId="2365" priority="89"/>
  </conditionalFormatting>
  <conditionalFormatting sqref="E122 E124">
    <cfRule type="containsBlanks" dxfId="2364" priority="88">
      <formula>LEN(TRIM(E122))=0</formula>
    </cfRule>
  </conditionalFormatting>
  <conditionalFormatting sqref="E126 E128">
    <cfRule type="aboveAverage" dxfId="2363" priority="87"/>
  </conditionalFormatting>
  <conditionalFormatting sqref="E126 E128">
    <cfRule type="containsBlanks" dxfId="2362" priority="86">
      <formula>LEN(TRIM(E126))=0</formula>
    </cfRule>
  </conditionalFormatting>
  <conditionalFormatting sqref="G150:H157">
    <cfRule type="containsText" dxfId="2361" priority="58" operator="containsText" text="I-Viru">
      <formula>NOT(ISERROR(SEARCH("I-Viru",G150)))</formula>
    </cfRule>
  </conditionalFormatting>
  <conditionalFormatting sqref="D141 C142">
    <cfRule type="aboveAverage" dxfId="2360" priority="57"/>
  </conditionalFormatting>
  <conditionalFormatting sqref="E141 C143">
    <cfRule type="aboveAverage" dxfId="2359" priority="56"/>
  </conditionalFormatting>
  <conditionalFormatting sqref="F141 C144">
    <cfRule type="aboveAverage" dxfId="2358" priority="55"/>
  </conditionalFormatting>
  <conditionalFormatting sqref="E142 D143">
    <cfRule type="aboveAverage" dxfId="2357" priority="54"/>
  </conditionalFormatting>
  <conditionalFormatting sqref="G141 C145">
    <cfRule type="aboveAverage" dxfId="2356" priority="53"/>
  </conditionalFormatting>
  <conditionalFormatting sqref="F142 D144">
    <cfRule type="aboveAverage" dxfId="2355" priority="52"/>
  </conditionalFormatting>
  <conditionalFormatting sqref="G142 D145">
    <cfRule type="aboveAverage" dxfId="2354" priority="51"/>
  </conditionalFormatting>
  <conditionalFormatting sqref="F143 E144">
    <cfRule type="aboveAverage" dxfId="2353" priority="50"/>
  </conditionalFormatting>
  <conditionalFormatting sqref="G143 E145">
    <cfRule type="aboveAverage" dxfId="2352" priority="49"/>
  </conditionalFormatting>
  <conditionalFormatting sqref="F145 G144">
    <cfRule type="aboveAverage" dxfId="2351" priority="48"/>
  </conditionalFormatting>
  <conditionalFormatting sqref="I144:I145">
    <cfRule type="expression" dxfId="2350" priority="40">
      <formula>FIND(2,I144,1)</formula>
    </cfRule>
    <cfRule type="expression" dxfId="2349" priority="41">
      <formula>FIND(1,I144,1)</formula>
    </cfRule>
  </conditionalFormatting>
  <conditionalFormatting sqref="I141:I143">
    <cfRule type="expression" dxfId="2348" priority="38">
      <formula>FIND(2,I141,1)</formula>
    </cfRule>
    <cfRule type="expression" dxfId="2347" priority="39">
      <formula>FIND(1,I141,1)</formula>
    </cfRule>
  </conditionalFormatting>
  <conditionalFormatting sqref="B147:C149">
    <cfRule type="containsText" dxfId="2346" priority="34" operator="containsText" text="I-Viru">
      <formula>NOT(ISERROR(SEARCH("I-Viru",B147)))</formula>
    </cfRule>
  </conditionalFormatting>
  <conditionalFormatting sqref="L141:L145">
    <cfRule type="expression" dxfId="2345" priority="128">
      <formula>OR(J141=0,J141=4)</formula>
    </cfRule>
    <cfRule type="expression" dxfId="2344" priority="129">
      <formula>AND(J141=1,IF(COUNTIF(J$7:J$11,"=1")=1,TRUE))</formula>
    </cfRule>
    <cfRule type="expression" dxfId="2343" priority="130">
      <formula>AND(J141=3,IF(COUNTIF(J$7:J$11,"=3")=1,TRUE))</formula>
    </cfRule>
  </conditionalFormatting>
  <conditionalFormatting sqref="K141:K145">
    <cfRule type="expression" dxfId="2342" priority="338">
      <formula>AND(J141=3,IF(COUNTIF(J$141:J$145,"=3")&gt;=2,TRUE))</formula>
    </cfRule>
    <cfRule type="expression" dxfId="2341" priority="339">
      <formula>AND(J141=1,IF(COUNTIF(J$141:J$145,"=1")&gt;=2,TRUE))</formula>
    </cfRule>
    <cfRule type="expression" dxfId="2340" priority="340">
      <formula>AND(J141=2,IF(COUNTIF(J$141:J$145,"=2")&gt;=2,TRUE))</formula>
    </cfRule>
  </conditionalFormatting>
  <conditionalFormatting sqref="H141:H145">
    <cfRule type="expression" dxfId="2339" priority="327">
      <formula>AND(J141=1,IF(COUNTIF(J$7:J$11,"=1")&gt;=2,TRUE))</formula>
    </cfRule>
    <cfRule type="expression" dxfId="2338" priority="334">
      <formula>AND(J141=3,IF(COUNTIF(J$7:J$11,"=3")&gt;=2,TRUE))</formula>
    </cfRule>
    <cfRule type="expression" dxfId="2337" priority="335">
      <formula>AND(J141=2,IF(COUNTIF(J$7:J$11,"=2")&gt;=2,TRUE))</formula>
    </cfRule>
  </conditionalFormatting>
  <conditionalFormatting sqref="L15:L18">
    <cfRule type="expression" dxfId="2336" priority="25">
      <formula>OR(J15=0,J15=4)</formula>
    </cfRule>
    <cfRule type="expression" dxfId="2335" priority="29">
      <formula>AND(J15=1,IF(COUNTIF(J$14:J$18,"=1")=1,TRUE))</formula>
    </cfRule>
    <cfRule type="expression" dxfId="2334" priority="30">
      <formula>AND(J15=3,IF(COUNTIF(J$14:J$18,"=3")=1,TRUE))</formula>
    </cfRule>
  </conditionalFormatting>
  <conditionalFormatting sqref="L21:L25">
    <cfRule type="expression" dxfId="2333" priority="26">
      <formula>OR(J21=0,J21=4)</formula>
    </cfRule>
    <cfRule type="expression" dxfId="2332" priority="27">
      <formula>AND(J21=1,IF(COUNTIF(J$21:J$25,"=1")=1,TRUE))</formula>
    </cfRule>
    <cfRule type="expression" dxfId="2331" priority="28">
      <formula>AND(J21=3,IF(COUNTIF(J$21:J$25,"=3")=1,TRUE))</formula>
    </cfRule>
  </conditionalFormatting>
  <conditionalFormatting sqref="L7:L11">
    <cfRule type="expression" dxfId="2330" priority="22">
      <formula>OR(J7=0,J7=4)</formula>
    </cfRule>
    <cfRule type="expression" dxfId="2329" priority="23">
      <formula>AND(J7=1,IF(COUNTIF(J$7:J$11,"=1")=1,TRUE))</formula>
    </cfRule>
    <cfRule type="expression" dxfId="2328" priority="24">
      <formula>AND(J7=3,IF(COUNTIF(J$7:J$11,"=3")=1,TRUE))</formula>
    </cfRule>
  </conditionalFormatting>
  <conditionalFormatting sqref="L28:L32">
    <cfRule type="expression" dxfId="2327" priority="19">
      <formula>OR(J28=0,J28=4)</formula>
    </cfRule>
    <cfRule type="expression" dxfId="2326" priority="20">
      <formula>AND(J28=1,IF(COUNTIF(J$28:J$32,"=1")=1,TRUE))</formula>
    </cfRule>
    <cfRule type="expression" dxfId="2325" priority="21">
      <formula>AND(J28=3,IF(COUNTIF(J$28:J$32,"=3")=1,TRUE))</formula>
    </cfRule>
  </conditionalFormatting>
  <conditionalFormatting sqref="L43:L46">
    <cfRule type="expression" dxfId="2324" priority="13">
      <formula>OR(J43=0,J43=4)</formula>
    </cfRule>
    <cfRule type="expression" dxfId="2323" priority="17">
      <formula>AND(J43=1,IF(COUNTIF(J$14:J$18,"=1")=1,TRUE))</formula>
    </cfRule>
    <cfRule type="expression" dxfId="2322" priority="18">
      <formula>AND(J43=3,IF(COUNTIF(J$14:J$18,"=3")=1,TRUE))</formula>
    </cfRule>
  </conditionalFormatting>
  <conditionalFormatting sqref="L49:L53">
    <cfRule type="expression" dxfId="2321" priority="14">
      <formula>OR(J49=0,J49=4)</formula>
    </cfRule>
    <cfRule type="expression" dxfId="2320" priority="15">
      <formula>AND(J49=1,IF(COUNTIF(J$21:J$25,"=1")=1,TRUE))</formula>
    </cfRule>
    <cfRule type="expression" dxfId="2319" priority="16">
      <formula>AND(J49=3,IF(COUNTIF(J$21:J$25,"=3")=1,TRUE))</formula>
    </cfRule>
  </conditionalFormatting>
  <conditionalFormatting sqref="L35:L39">
    <cfRule type="expression" dxfId="2318" priority="10">
      <formula>OR(J35=0,J35=4)</formula>
    </cfRule>
    <cfRule type="expression" dxfId="2317" priority="11">
      <formula>AND(J35=1,IF(COUNTIF(J$7:J$11,"=1")=1,TRUE))</formula>
    </cfRule>
    <cfRule type="expression" dxfId="2316" priority="12">
      <formula>AND(J35=3,IF(COUNTIF(J$7:J$11,"=3")=1,TRUE))</formula>
    </cfRule>
  </conditionalFormatting>
  <conditionalFormatting sqref="L56:L60">
    <cfRule type="expression" dxfId="2315" priority="7">
      <formula>OR(J56=0,J56=4)</formula>
    </cfRule>
    <cfRule type="expression" dxfId="2314" priority="8">
      <formula>AND(J56=1,IF(COUNTIF(J$28:J$32,"=1")=1,TRUE))</formula>
    </cfRule>
    <cfRule type="expression" dxfId="2313" priority="9">
      <formula>AND(J56=3,IF(COUNTIF(J$28:J$32,"=3")=1,TRUE))</formula>
    </cfRule>
  </conditionalFormatting>
  <conditionalFormatting sqref="L14">
    <cfRule type="expression" dxfId="2312" priority="4">
      <formula>OR(J14=0,J14=4)</formula>
    </cfRule>
    <cfRule type="expression" dxfId="2311" priority="5">
      <formula>AND(J14=1,IF(COUNTIF(J$7:J$11,"=1")=1,TRUE))</formula>
    </cfRule>
    <cfRule type="expression" dxfId="2310" priority="6">
      <formula>AND(J14=3,IF(COUNTIF(J$7:J$11,"=3")=1,TRUE))</formula>
    </cfRule>
  </conditionalFormatting>
  <conditionalFormatting sqref="L42">
    <cfRule type="expression" dxfId="2309" priority="1">
      <formula>OR(J42=0,J42=4)</formula>
    </cfRule>
    <cfRule type="expression" dxfId="2308" priority="2">
      <formula>AND(J42=1,IF(COUNTIF(J$7:J$11,"=1")=1,TRUE))</formula>
    </cfRule>
    <cfRule type="expression" dxfId="2307" priority="3">
      <formula>AND(J42=3,IF(COUNTIF(J$7:J$11,"=3")=1,TRUE))</formula>
    </cfRule>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rowBreaks count="2" manualBreakCount="2">
    <brk id="97" max="16383" man="1"/>
    <brk id="297"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W312"/>
  <sheetViews>
    <sheetView showGridLines="0" showRowColHeaders="0" zoomScaleNormal="100" workbookViewId="0">
      <pane ySplit="2" topLeftCell="A3" activePane="bottomLeft" state="frozen"/>
      <selection activeCell="K1" sqref="K1"/>
      <selection pane="bottomLeft" activeCell="G1" sqref="G1"/>
    </sheetView>
  </sheetViews>
  <sheetFormatPr defaultRowHeight="12.75" x14ac:dyDescent="0.2"/>
  <cols>
    <col min="1" max="1" width="5.5703125" style="277" customWidth="1"/>
    <col min="2" max="2" width="53" style="277" bestFit="1" customWidth="1"/>
    <col min="3" max="3" width="6.7109375" style="277" customWidth="1"/>
    <col min="4" max="4" width="7.42578125" style="277" bestFit="1" customWidth="1"/>
    <col min="5" max="5" width="9.140625" style="277" bestFit="1" customWidth="1"/>
    <col min="6" max="6" width="6.7109375" style="277" customWidth="1"/>
    <col min="7" max="7" width="5.140625" style="277" bestFit="1" customWidth="1"/>
    <col min="8" max="9" width="6.7109375" style="277" customWidth="1"/>
    <col min="10" max="10" width="6.7109375" style="277" hidden="1" customWidth="1"/>
    <col min="11" max="12" width="6.7109375" style="277" customWidth="1"/>
    <col min="13" max="13" width="6.7109375" style="277" hidden="1" customWidth="1"/>
    <col min="14" max="14" width="16.5703125" style="277" hidden="1" customWidth="1"/>
    <col min="15" max="15" width="4" style="277" hidden="1" customWidth="1"/>
    <col min="16" max="16" width="15.28515625" style="277" hidden="1" customWidth="1"/>
    <col min="17" max="17" width="4" style="277" hidden="1" customWidth="1"/>
    <col min="18" max="18" width="22.42578125" style="277" hidden="1" customWidth="1"/>
    <col min="19" max="19" width="4" style="277" hidden="1" customWidth="1"/>
    <col min="20" max="20" width="14.5703125" style="277" hidden="1" customWidth="1"/>
    <col min="21" max="21" width="4" style="277" hidden="1" customWidth="1"/>
    <col min="22" max="22" width="7.42578125" style="277" hidden="1" customWidth="1"/>
    <col min="23" max="23" width="3" style="277" hidden="1" customWidth="1"/>
    <col min="24" max="16384" width="9.140625" style="277"/>
  </cols>
  <sheetData>
    <row r="1" spans="1:23" x14ac:dyDescent="0.2">
      <c r="A1" s="31" t="str">
        <f>UPPER((Kalend!E29)&amp;" - "&amp;(Kalend!C29)&amp;" - "&amp;(Kalend!D29))</f>
        <v>7 - JÕHVI 16. MV - TRIO</v>
      </c>
      <c r="C1" s="495" t="str">
        <f>HYPERLINK("#'Kalend'!I1","Kalender")</f>
        <v>Kalender</v>
      </c>
      <c r="E1" s="495" t="str">
        <f>HYPERLINK("#'Reit'!T1","Reiting")</f>
        <v>Reiting</v>
      </c>
      <c r="J1" s="169" t="s">
        <v>180</v>
      </c>
      <c r="M1" s="497"/>
    </row>
    <row r="2" spans="1:23" x14ac:dyDescent="0.2">
      <c r="A2" s="2" t="str">
        <f>"Toimumisaeg: "&amp;(Kalend!A29)&amp;" kell "&amp;(Kalend!B29)</f>
        <v>Toimumisaeg: N, 19.07.2018 kell 17:30</v>
      </c>
    </row>
    <row r="3" spans="1:23" x14ac:dyDescent="0.2">
      <c r="A3" s="2" t="str">
        <f>"Toimumiskoht: "&amp;(Kalend!F29)</f>
        <v>Toimumiskoht: Jõhvi, Neptun</v>
      </c>
    </row>
    <row r="4" spans="1:23" x14ac:dyDescent="0.2">
      <c r="A4" s="2" t="str">
        <f>"Korraldaja: "&amp;(Kalend!G29)</f>
        <v>Korraldaja: LTK Üks-Teist, Tõnu Kapper</v>
      </c>
      <c r="G4" s="838" t="s">
        <v>586</v>
      </c>
    </row>
    <row r="5" spans="1:23" x14ac:dyDescent="0.2">
      <c r="A5" s="55"/>
      <c r="C5" s="55"/>
      <c r="D5" s="55"/>
      <c r="E5" s="55"/>
      <c r="F5" s="55"/>
      <c r="G5" s="55"/>
      <c r="H5" s="55"/>
    </row>
    <row r="6" spans="1:23" s="506" customFormat="1" x14ac:dyDescent="0.2">
      <c r="A6" s="580" t="s">
        <v>140</v>
      </c>
      <c r="B6" s="581"/>
      <c r="C6" s="501" t="s">
        <v>409</v>
      </c>
      <c r="D6" s="580" t="s">
        <v>410</v>
      </c>
      <c r="E6" s="580" t="s">
        <v>411</v>
      </c>
      <c r="F6" s="501" t="s">
        <v>412</v>
      </c>
      <c r="G6" s="501" t="s">
        <v>26</v>
      </c>
      <c r="H6" s="55"/>
      <c r="M6" s="599" t="s">
        <v>365</v>
      </c>
      <c r="N6" s="600"/>
      <c r="O6" s="600"/>
      <c r="P6" s="507"/>
      <c r="Q6" s="507"/>
      <c r="R6" s="507"/>
      <c r="S6" s="507"/>
      <c r="T6" s="507"/>
      <c r="U6" s="507"/>
      <c r="V6" s="507"/>
      <c r="W6" s="507"/>
    </row>
    <row r="7" spans="1:23" s="506" customFormat="1" x14ac:dyDescent="0.2">
      <c r="A7" s="580">
        <v>1</v>
      </c>
      <c r="B7" s="583" t="s">
        <v>587</v>
      </c>
      <c r="C7" s="582">
        <v>13</v>
      </c>
      <c r="D7" s="582">
        <v>13</v>
      </c>
      <c r="E7" s="510"/>
      <c r="F7" s="224"/>
      <c r="G7" s="510" t="str">
        <f>IF(AND(COUNT(F7:F10)=2,F7=MAX(F7:F10),COUNT(C7:F7)=3),A6&amp;"2",IF(AND(COUNT(E7:E10)=2,ISNUMBER(E7),E7=MIN(E7:E10),D7="",F7=""),A6&amp;"4",IF(AND(COUNT(D7:D10)=2,D7=MAX(D7:D10),E7="",F7=""),A6&amp;"1",IF(COUNT(F7:F10)=2,A6&amp;"3",""))))</f>
        <v>A1</v>
      </c>
      <c r="M7" s="499">
        <f>SUM(O7:W7)</f>
        <v>612.29999999999995</v>
      </c>
      <c r="N7" s="603" t="str">
        <f>IFERROR(LEFT($B8,(FIND(",",$B8,1)-1)),"")</f>
        <v>Aarne Välja</v>
      </c>
      <c r="O7" s="604">
        <f>IFERROR(INDEX(Reit!$I:$I,MATCH(N7,Reit!$F:$F,0)),"")</f>
        <v>260</v>
      </c>
      <c r="P7" s="603" t="str">
        <f>IFERROR(MID($B8,FIND("^",SUBSTITUTE($B8,", ","^",1))+2,FIND("^",SUBSTITUTE($B8,", ","^",2))-FIND("^",SUBSTITUTE($B8,", ","^",1))-2),"")</f>
        <v>Janek Tarto</v>
      </c>
      <c r="Q7" s="604">
        <f>IFERROR(INDEX(Reit!$I:$I,MATCH(P7,Reit!$F:$F,0)),"")</f>
        <v>252</v>
      </c>
      <c r="R7" s="603" t="str">
        <f>IFERROR(MID($B8,FIND(", ",$B8,FIND(", ",$B8,FIND(", ",$B8))+1)+2,30000),"")</f>
        <v>Romek Tarto</v>
      </c>
      <c r="S7" s="604">
        <f>IFERROR(INDEX(Reit!$I:$I,MATCH(R7,Reit!$F:$F,0)),"")</f>
        <v>100.3</v>
      </c>
      <c r="T7" s="605" t="str">
        <f>IFERROR(MID($B8,FIND(", ",$B8,FIND(", ",$B8)+1)+2,FIND(", ",$B8,FIND(", ",$B8,FIND(", ",$B8)+1)+1)-FIND(", ",$B8,FIND(", ",$B8)+1)-2),"")</f>
        <v/>
      </c>
      <c r="U7" s="604" t="str">
        <f>IFERROR(INDEX(Reit!$I:$I,MATCH(T7,Reit!$F:$F,0)),"")</f>
        <v/>
      </c>
      <c r="V7" s="603" t="str">
        <f>IFERROR(MID($B8,FIND(", ",$B8,FIND(", ",$B8,FIND(", ",$B8)+1)+1)+2,30000),"")</f>
        <v/>
      </c>
      <c r="W7" s="604" t="str">
        <f>IFERROR(INDEX(Reit!$I:$I,MATCH(V7,Reit!$F:$F,0)),"")</f>
        <v/>
      </c>
    </row>
    <row r="8" spans="1:23" s="506" customFormat="1" x14ac:dyDescent="0.2">
      <c r="A8" s="580">
        <v>2</v>
      </c>
      <c r="B8" s="839" t="s">
        <v>503</v>
      </c>
      <c r="C8" s="584">
        <v>9</v>
      </c>
      <c r="D8" s="582"/>
      <c r="E8" s="510">
        <v>13</v>
      </c>
      <c r="F8" s="224">
        <v>10</v>
      </c>
      <c r="G8" s="510" t="str">
        <f>IF(AND(COUNT(F7:F10)=2,F8=MAX(F7:F10),COUNT(C8:F8)=3),A6&amp;"2",IF(AND(COUNT(E7:E10)=2,ISNUMBER(E8),E8=MIN(E7:E10),D8="",F8=""),A6&amp;"4",IF(AND(COUNT(D7:D10)=2,D8=MAX(D7:D10),E8="",F8=""),A6&amp;"1",IF(COUNT(F7:F10)=2,A6&amp;"3",""))))</f>
        <v>A3</v>
      </c>
      <c r="M8" s="499">
        <f t="shared" ref="M8:M16" si="0">SUM(O8:W8)</f>
        <v>680</v>
      </c>
      <c r="N8" s="603" t="str">
        <f>IFERROR(LEFT($B7,(FIND(",",$B7,1)-1)),"")</f>
        <v>Jaan Sepp</v>
      </c>
      <c r="O8" s="604">
        <f>IFERROR(INDEX(Reit!$I:$I,MATCH(N8,Reit!$F:$F,0)),"")</f>
        <v>243</v>
      </c>
      <c r="P8" s="603" t="str">
        <f>IFERROR(MID($B7,FIND("^",SUBSTITUTE($B7,", ","^",1))+2,FIND("^",SUBSTITUTE($B7,", ","^",2))-FIND("^",SUBSTITUTE($B7,", ","^",1))-2),"")</f>
        <v>Mait Metsla</v>
      </c>
      <c r="Q8" s="604">
        <f>IFERROR(INDEX(Reit!$I:$I,MATCH(P8,Reit!$F:$F,0)),"")</f>
        <v>241</v>
      </c>
      <c r="R8" s="603" t="str">
        <f>IFERROR(MID($B7,FIND(", ",$B7,FIND(", ",$B7,FIND(", ",$B7))+1)+2,30000),"")</f>
        <v>Oskar Sepp</v>
      </c>
      <c r="S8" s="604">
        <f>IFERROR(INDEX(Reit!$I:$I,MATCH(R8,Reit!$F:$F,0)),"")</f>
        <v>196</v>
      </c>
      <c r="T8" s="605" t="str">
        <f>IFERROR(MID($B7,FIND(", ",$B7,FIND(", ",$B7)+1)+2,FIND(", ",$B7,FIND(", ",$B7,FIND(", ",$B7)+1)+1)-FIND(", ",$B7,FIND(", ",$B7)+1)-2),"")</f>
        <v/>
      </c>
      <c r="U8" s="604" t="str">
        <f>IFERROR(INDEX(Reit!$I:$I,MATCH(T8,Reit!$F:$F,0)),"")</f>
        <v/>
      </c>
      <c r="V8" s="603" t="str">
        <f>IFERROR(MID($B7,FIND(", ",$B7,FIND(", ",$B7,FIND(", ",$B7)+1)+1)+2,30000),"")</f>
        <v/>
      </c>
      <c r="W8" s="604" t="str">
        <f>IFERROR(INDEX(Reit!$I:$I,MATCH(V8,Reit!$F:$F,0)),"")</f>
        <v/>
      </c>
    </row>
    <row r="9" spans="1:23" s="506" customFormat="1" x14ac:dyDescent="0.2">
      <c r="A9" s="580">
        <v>3</v>
      </c>
      <c r="B9" s="583" t="s">
        <v>588</v>
      </c>
      <c r="C9" s="584">
        <v>13</v>
      </c>
      <c r="D9" s="510">
        <v>1</v>
      </c>
      <c r="E9" s="510"/>
      <c r="F9" s="224">
        <v>11</v>
      </c>
      <c r="G9" s="510" t="str">
        <f>IF(AND(COUNT(F7:F10)=2,F9=MAX(F7:F10),COUNT(C9:F9)=3),A6&amp;"2",IF(AND(COUNT(E7:E10)=2,ISNUMBER(E9),E9=MIN(E7:E10),D9="",F9=""),A6&amp;"4",IF(AND(COUNT(D7:D10)=2,D9=MAX(D7:D10),E9="",F9=""),A6&amp;"1",IF(COUNT(F7:F10)=2,A6&amp;"3",""))))</f>
        <v>A2</v>
      </c>
      <c r="M9" s="499">
        <f t="shared" si="0"/>
        <v>420</v>
      </c>
      <c r="N9" s="603" t="str">
        <f t="shared" ref="N9:N16" si="1">IFERROR(LEFT($B9,(FIND(",",$B9,1)-1)),"")</f>
        <v>Enn Tokman</v>
      </c>
      <c r="O9" s="604">
        <f>IFERROR(INDEX(Reit!$I:$I,MATCH(N9,Reit!$F:$F,0)),"")</f>
        <v>72</v>
      </c>
      <c r="P9" s="603" t="str">
        <f t="shared" ref="P9:P16" si="2">IFERROR(MID($B9,FIND("^",SUBSTITUTE($B9,", ","^",1))+2,FIND("^",SUBSTITUTE($B9,", ","^",2))-FIND("^",SUBSTITUTE($B9,", ","^",1))-2),"")</f>
        <v>Tõnu Kapper</v>
      </c>
      <c r="Q9" s="604">
        <f>IFERROR(INDEX(Reit!$I:$I,MATCH(P9,Reit!$F:$F,0)),"")</f>
        <v>162</v>
      </c>
      <c r="R9" s="603" t="str">
        <f t="shared" ref="R9:R16" si="3">IFERROR(MID($B9,FIND(", ",$B9,FIND(", ",$B9,FIND(", ",$B9))+1)+2,30000),"")</f>
        <v>Vladimir Ogneštšikov</v>
      </c>
      <c r="S9" s="604">
        <f>IFERROR(INDEX(Reit!$I:$I,MATCH(R9,Reit!$F:$F,0)),"")</f>
        <v>186</v>
      </c>
      <c r="T9" s="605" t="str">
        <f t="shared" ref="T9:T16" si="4">IFERROR(MID($B9,FIND(", ",$B9,FIND(", ",$B9)+1)+2,FIND(", ",$B9,FIND(", ",$B9,FIND(", ",$B9)+1)+1)-FIND(", ",$B9,FIND(", ",$B9)+1)-2),"")</f>
        <v/>
      </c>
      <c r="U9" s="604" t="str">
        <f>IFERROR(INDEX(Reit!$I:$I,MATCH(T9,Reit!$F:$F,0)),"")</f>
        <v/>
      </c>
      <c r="V9" s="603" t="str">
        <f t="shared" ref="V9:V16" si="5">IFERROR(MID($B9,FIND(", ",$B9,FIND(", ",$B9,FIND(", ",$B9)+1)+1)+2,30000),"")</f>
        <v/>
      </c>
      <c r="W9" s="604" t="str">
        <f>IFERROR(INDEX(Reit!$I:$I,MATCH(V9,Reit!$F:$F,0)),"")</f>
        <v/>
      </c>
    </row>
    <row r="10" spans="1:23" s="506" customFormat="1" x14ac:dyDescent="0.2">
      <c r="A10" s="580">
        <v>4</v>
      </c>
      <c r="B10" s="585" t="s">
        <v>589</v>
      </c>
      <c r="C10" s="582">
        <v>9</v>
      </c>
      <c r="D10" s="582"/>
      <c r="E10" s="510">
        <v>5</v>
      </c>
      <c r="F10" s="224"/>
      <c r="G10" s="510" t="str">
        <f>IF(AND(COUNT(F7:F10)=2,F10=MAX(F7:F10),COUNT(C10:F10)=3),A6&amp;"2",IF(AND(COUNT(E7:E10)=2,ISNUMBER(E10),E10=MIN(E7:E10),D10="",F10=""),A6&amp;"4",IF(AND(COUNT(D7:D10)=2,D10=MAX(D7:D10),E10="",F10=""),A6&amp;"1",IF(COUNT(F7:F10)=2,A6&amp;"3",""))))</f>
        <v>A4</v>
      </c>
      <c r="M10" s="499">
        <f t="shared" si="0"/>
        <v>428</v>
      </c>
      <c r="N10" s="603" t="str">
        <f t="shared" si="1"/>
        <v>Johannes Neiland</v>
      </c>
      <c r="O10" s="604">
        <f>IFERROR(INDEX(Reit!$I:$I,MATCH(N10,Reit!$F:$F,0)),"")</f>
        <v>88</v>
      </c>
      <c r="P10" s="603" t="str">
        <f t="shared" si="2"/>
        <v>Oksana Sažina</v>
      </c>
      <c r="Q10" s="604">
        <f>IFERROR(INDEX(Reit!$I:$I,MATCH(P10,Reit!$F:$F,0)),"")</f>
        <v>94</v>
      </c>
      <c r="R10" s="603" t="str">
        <f t="shared" si="3"/>
        <v>Oleg Rõndenkov, Ülo Piik</v>
      </c>
      <c r="S10" s="604" t="str">
        <f>IFERROR(INDEX(Reit!$I:$I,MATCH(R10,Reit!$F:$F,0)),"")</f>
        <v/>
      </c>
      <c r="T10" s="605" t="str">
        <f t="shared" si="4"/>
        <v>Oleg Rõndenkov</v>
      </c>
      <c r="U10" s="604">
        <f>IFERROR(INDEX(Reit!$I:$I,MATCH(T10,Reit!$F:$F,0)),"")</f>
        <v>172</v>
      </c>
      <c r="V10" s="603" t="str">
        <f t="shared" si="5"/>
        <v>Ülo Piik</v>
      </c>
      <c r="W10" s="604">
        <f>IFERROR(INDEX(Reit!$I:$I,MATCH(V10,Reit!$F:$F,0)),"")</f>
        <v>74</v>
      </c>
    </row>
    <row r="11" spans="1:23" s="506" customFormat="1" x14ac:dyDescent="0.2">
      <c r="A11" s="32"/>
      <c r="B11" s="840"/>
      <c r="C11" s="32"/>
      <c r="D11" s="32"/>
      <c r="E11" s="32"/>
      <c r="F11" s="32"/>
      <c r="G11" s="586" t="s">
        <v>31</v>
      </c>
      <c r="M11" s="499"/>
      <c r="N11" s="654"/>
      <c r="O11" s="604" t="str">
        <f>IFERROR(INDEX(Reit!$I:$I,MATCH(N11,Reit!$F:$F,0)),"")</f>
        <v/>
      </c>
      <c r="P11" s="600"/>
      <c r="Q11" s="600"/>
      <c r="R11" s="600"/>
      <c r="S11" s="600"/>
      <c r="T11" s="507"/>
      <c r="U11" s="507"/>
      <c r="V11" s="600"/>
      <c r="W11" s="507"/>
    </row>
    <row r="12" spans="1:23" s="506" customFormat="1" x14ac:dyDescent="0.2">
      <c r="A12" s="580" t="s">
        <v>141</v>
      </c>
      <c r="B12" s="581"/>
      <c r="C12" s="501" t="s">
        <v>409</v>
      </c>
      <c r="D12" s="580" t="s">
        <v>410</v>
      </c>
      <c r="E12" s="580" t="s">
        <v>411</v>
      </c>
      <c r="F12" s="501" t="s">
        <v>412</v>
      </c>
      <c r="G12" s="501" t="s">
        <v>26</v>
      </c>
      <c r="M12" s="499"/>
      <c r="N12" s="654"/>
      <c r="O12" s="604" t="str">
        <f>IFERROR(INDEX(Reit!$I:$I,MATCH(N12,Reit!$F:$F,0)),"")</f>
        <v/>
      </c>
      <c r="P12" s="600"/>
      <c r="Q12" s="600"/>
      <c r="R12" s="600"/>
      <c r="S12" s="600"/>
      <c r="T12" s="507"/>
      <c r="U12" s="507"/>
      <c r="V12" s="600"/>
      <c r="W12" s="507"/>
    </row>
    <row r="13" spans="1:23" s="498" customFormat="1" x14ac:dyDescent="0.2">
      <c r="A13" s="580">
        <v>1</v>
      </c>
      <c r="B13" s="841" t="s">
        <v>504</v>
      </c>
      <c r="C13" s="582">
        <v>13</v>
      </c>
      <c r="D13" s="582">
        <v>5</v>
      </c>
      <c r="E13" s="510"/>
      <c r="F13" s="224">
        <v>10</v>
      </c>
      <c r="G13" s="510" t="str">
        <f>IF(AND(COUNT(F13:F16)=2,F13=MAX(F13:F16),COUNT(C13:F13)=3),A12&amp;"2",IF(AND(COUNT(E13:E16)=2,ISNUMBER(E13),E13=MIN(E13:E16),D13="",F13=""),A12&amp;"4",IF(AND(COUNT(D13:D16)=2,D13=MAX(D13:D16),E13="",F13=""),A12&amp;"1",IF(COUNT(F13:F16)=2,A12&amp;"3",""))))</f>
        <v>B2</v>
      </c>
      <c r="H13" s="506"/>
      <c r="I13" s="506"/>
      <c r="M13" s="499">
        <f t="shared" si="0"/>
        <v>808</v>
      </c>
      <c r="N13" s="603" t="str">
        <f t="shared" si="1"/>
        <v>Boriss Klubov</v>
      </c>
      <c r="O13" s="604">
        <f>IFERROR(INDEX(Reit!$I:$I,MATCH(N13,Reit!$F:$F,0)),"")</f>
        <v>258</v>
      </c>
      <c r="P13" s="603" t="str">
        <f t="shared" si="2"/>
        <v>Elmo Lageda</v>
      </c>
      <c r="Q13" s="604">
        <f>IFERROR(INDEX(Reit!$I:$I,MATCH(P13,Reit!$F:$F,0)),"")</f>
        <v>282</v>
      </c>
      <c r="R13" s="603" t="str">
        <f t="shared" si="3"/>
        <v>Tõnu Piik</v>
      </c>
      <c r="S13" s="604">
        <f>IFERROR(INDEX(Reit!$I:$I,MATCH(R13,Reit!$F:$F,0)),"")</f>
        <v>268</v>
      </c>
      <c r="T13" s="605" t="str">
        <f t="shared" si="4"/>
        <v/>
      </c>
      <c r="U13" s="604" t="str">
        <f>IFERROR(INDEX(Reit!$I:$I,MATCH(T13,Reit!$F:$F,0)),"")</f>
        <v/>
      </c>
      <c r="V13" s="603" t="str">
        <f t="shared" si="5"/>
        <v/>
      </c>
      <c r="W13" s="604" t="str">
        <f>IFERROR(INDEX(Reit!$I:$I,MATCH(V13,Reit!$F:$F,0)),"")</f>
        <v/>
      </c>
    </row>
    <row r="14" spans="1:23" s="498" customFormat="1" x14ac:dyDescent="0.2">
      <c r="A14" s="580">
        <v>2</v>
      </c>
      <c r="B14" s="583" t="s">
        <v>590</v>
      </c>
      <c r="C14" s="584">
        <v>13</v>
      </c>
      <c r="D14" s="582">
        <v>13</v>
      </c>
      <c r="E14" s="510"/>
      <c r="F14" s="224"/>
      <c r="G14" s="510" t="str">
        <f>IF(AND(COUNT(F13:F16)=2,F14=MAX(F13:F16),COUNT(C14:F14)=3),A12&amp;"2",IF(AND(COUNT(E13:E16)=2,ISNUMBER(E14),E14=MIN(E13:E16),D14="",F14=""),A12&amp;"4",IF(AND(COUNT(D13:D16)=2,D14=MAX(D13:D16),E14="",F14=""),A12&amp;"1",IF(COUNT(F13:F16)=2,A12&amp;"3",""))))</f>
        <v>B1</v>
      </c>
      <c r="H14" s="506"/>
      <c r="I14" s="506"/>
      <c r="M14" s="499">
        <f t="shared" si="0"/>
        <v>672</v>
      </c>
      <c r="N14" s="603" t="str">
        <f t="shared" si="1"/>
        <v>Ivar Viljaste</v>
      </c>
      <c r="O14" s="604">
        <f>IFERROR(INDEX(Reit!$I:$I,MATCH(N14,Reit!$F:$F,0)),"")</f>
        <v>338</v>
      </c>
      <c r="P14" s="603" t="str">
        <f t="shared" si="2"/>
        <v>Matti Vinni</v>
      </c>
      <c r="Q14" s="604">
        <f>IFERROR(INDEX(Reit!$I:$I,MATCH(P14,Reit!$F:$F,0)),"")</f>
        <v>244</v>
      </c>
      <c r="R14" s="603" t="str">
        <f t="shared" si="3"/>
        <v>Sirje Viljaste</v>
      </c>
      <c r="S14" s="604">
        <f>IFERROR(INDEX(Reit!$I:$I,MATCH(R14,Reit!$F:$F,0)),"")</f>
        <v>90</v>
      </c>
      <c r="T14" s="605" t="str">
        <f t="shared" si="4"/>
        <v/>
      </c>
      <c r="U14" s="604" t="str">
        <f>IFERROR(INDEX(Reit!$I:$I,MATCH(T14,Reit!$F:$F,0)),"")</f>
        <v/>
      </c>
      <c r="V14" s="603" t="str">
        <f t="shared" si="5"/>
        <v/>
      </c>
      <c r="W14" s="604" t="str">
        <f>IFERROR(INDEX(Reit!$I:$I,MATCH(V14,Reit!$F:$F,0)),"")</f>
        <v/>
      </c>
    </row>
    <row r="15" spans="1:23" s="498" customFormat="1" x14ac:dyDescent="0.2">
      <c r="A15" s="580">
        <v>3</v>
      </c>
      <c r="B15" s="583" t="s">
        <v>591</v>
      </c>
      <c r="C15" s="584">
        <v>2</v>
      </c>
      <c r="D15" s="510"/>
      <c r="E15" s="510">
        <v>13</v>
      </c>
      <c r="F15" s="224">
        <v>8</v>
      </c>
      <c r="G15" s="510" t="str">
        <f>IF(AND(COUNT(F13:F16)=2,F15=MAX(F13:F16),COUNT(C15:F15)=3),A12&amp;"2",IF(AND(COUNT(E13:E16)=2,ISNUMBER(E15),E15=MIN(E13:E16),D15="",F15=""),A12&amp;"4",IF(AND(COUNT(D13:D16)=2,D15=MAX(D13:D16),E15="",F15=""),A12&amp;"1",IF(COUNT(F13:F16)=2,A12&amp;"3",""))))</f>
        <v>B3</v>
      </c>
      <c r="H15" s="506"/>
      <c r="I15" s="506"/>
      <c r="M15" s="499">
        <f t="shared" si="0"/>
        <v>278</v>
      </c>
      <c r="N15" s="603" t="str">
        <f t="shared" si="1"/>
        <v>Argo Sepp</v>
      </c>
      <c r="O15" s="604">
        <f>IFERROR(INDEX(Reit!$I:$I,MATCH(N15,Reit!$F:$F,0)),"")</f>
        <v>91</v>
      </c>
      <c r="P15" s="603" t="str">
        <f t="shared" si="2"/>
        <v>Karla Purgats</v>
      </c>
      <c r="Q15" s="604">
        <f>IFERROR(INDEX(Reit!$I:$I,MATCH(P15,Reit!$F:$F,0)),"")</f>
        <v>104</v>
      </c>
      <c r="R15" s="603" t="str">
        <f t="shared" si="3"/>
        <v>Lemmit Toomra</v>
      </c>
      <c r="S15" s="604">
        <f>IFERROR(INDEX(Reit!$I:$I,MATCH(R15,Reit!$F:$F,0)),"")</f>
        <v>83</v>
      </c>
      <c r="T15" s="605" t="str">
        <f t="shared" si="4"/>
        <v/>
      </c>
      <c r="U15" s="604" t="str">
        <f>IFERROR(INDEX(Reit!$I:$I,MATCH(T15,Reit!$F:$F,0)),"")</f>
        <v/>
      </c>
      <c r="V15" s="603" t="str">
        <f t="shared" si="5"/>
        <v/>
      </c>
      <c r="W15" s="604" t="str">
        <f>IFERROR(INDEX(Reit!$I:$I,MATCH(V15,Reit!$F:$F,0)),"")</f>
        <v/>
      </c>
    </row>
    <row r="16" spans="1:23" s="498" customFormat="1" x14ac:dyDescent="0.2">
      <c r="A16" s="580">
        <v>4</v>
      </c>
      <c r="B16" s="585" t="s">
        <v>592</v>
      </c>
      <c r="C16" s="582">
        <v>4</v>
      </c>
      <c r="D16" s="582"/>
      <c r="E16" s="510">
        <v>2</v>
      </c>
      <c r="F16" s="224"/>
      <c r="G16" s="510" t="str">
        <f>IF(AND(COUNT(F13:F16)=2,F16=MAX(F13:F16),COUNT(C16:F16)=3),A12&amp;"2",IF(AND(COUNT(E13:E16)=2,ISNUMBER(E16),E16=MIN(E13:E16),D16="",F16=""),A12&amp;"4",IF(AND(COUNT(D13:D16)=2,D16=MAX(D13:D16),E16="",F16=""),A12&amp;"1",IF(COUNT(F13:F16)=2,A12&amp;"3",""))))</f>
        <v>B4</v>
      </c>
      <c r="M16" s="499">
        <f t="shared" si="0"/>
        <v>199.3</v>
      </c>
      <c r="N16" s="603" t="str">
        <f t="shared" si="1"/>
        <v>Kenneth Muusikus</v>
      </c>
      <c r="O16" s="604">
        <f>IFERROR(INDEX(Reit!$I:$I,MATCH(N16,Reit!$F:$F,0)),"")</f>
        <v>115.3</v>
      </c>
      <c r="P16" s="603" t="str">
        <f t="shared" si="2"/>
        <v>Urmas Randlaine</v>
      </c>
      <c r="Q16" s="604">
        <f>IFERROR(INDEX(Reit!$I:$I,MATCH(P16,Reit!$F:$F,0)),"")</f>
        <v>20</v>
      </c>
      <c r="R16" s="603" t="str">
        <f t="shared" si="3"/>
        <v>Urmas Jõeäär</v>
      </c>
      <c r="S16" s="604">
        <f>IFERROR(INDEX(Reit!$I:$I,MATCH(R16,Reit!$F:$F,0)),"")</f>
        <v>64</v>
      </c>
      <c r="T16" s="605" t="str">
        <f t="shared" si="4"/>
        <v/>
      </c>
      <c r="U16" s="604" t="str">
        <f>IFERROR(INDEX(Reit!$I:$I,MATCH(T16,Reit!$F:$F,0)),"")</f>
        <v/>
      </c>
      <c r="V16" s="603" t="str">
        <f t="shared" si="5"/>
        <v/>
      </c>
      <c r="W16" s="604" t="str">
        <f>IFERROR(INDEX(Reit!$I:$I,MATCH(V16,Reit!$F:$F,0)),"")</f>
        <v/>
      </c>
    </row>
    <row r="17" spans="1:20" s="498" customFormat="1" hidden="1" x14ac:dyDescent="0.2">
      <c r="A17" s="55"/>
      <c r="B17" s="55"/>
      <c r="C17" s="55"/>
      <c r="D17" s="55"/>
      <c r="E17" s="55"/>
      <c r="F17" s="55"/>
      <c r="G17" s="55"/>
      <c r="H17" s="55"/>
      <c r="I17" s="55"/>
      <c r="J17" s="55"/>
      <c r="K17" s="55"/>
      <c r="L17" s="55"/>
      <c r="M17" s="55"/>
      <c r="N17" s="55"/>
      <c r="O17" s="55"/>
      <c r="P17" s="55"/>
      <c r="Q17" s="55"/>
      <c r="R17" s="55"/>
    </row>
    <row r="18" spans="1:20" s="498" customFormat="1" hidden="1" x14ac:dyDescent="0.2">
      <c r="A18" s="55"/>
      <c r="B18" s="55"/>
      <c r="C18" s="55"/>
      <c r="D18" s="55"/>
      <c r="E18" s="55"/>
      <c r="F18" s="55"/>
      <c r="G18" s="55"/>
      <c r="H18" s="55"/>
      <c r="I18" s="55"/>
      <c r="J18" s="55"/>
      <c r="K18" s="55"/>
      <c r="L18" s="55"/>
      <c r="M18" s="55"/>
      <c r="N18" s="55"/>
      <c r="O18" s="55"/>
      <c r="P18" s="55"/>
      <c r="Q18" s="55"/>
      <c r="R18" s="55"/>
    </row>
    <row r="19" spans="1:20" s="506" customFormat="1" hidden="1" x14ac:dyDescent="0.2">
      <c r="A19" s="55"/>
      <c r="B19" s="55"/>
      <c r="C19" s="55"/>
      <c r="D19" s="55"/>
      <c r="E19" s="55"/>
      <c r="F19" s="55"/>
      <c r="G19" s="55"/>
      <c r="H19" s="55"/>
      <c r="I19" s="55"/>
      <c r="J19" s="55"/>
      <c r="K19" s="55"/>
      <c r="L19" s="55"/>
      <c r="M19" s="55"/>
      <c r="N19" s="55"/>
      <c r="O19" s="55"/>
      <c r="P19" s="55"/>
      <c r="Q19" s="55"/>
      <c r="R19" s="55"/>
    </row>
    <row r="20" spans="1:20" s="498" customFormat="1" hidden="1" x14ac:dyDescent="0.2">
      <c r="A20" s="55"/>
      <c r="B20" s="55"/>
      <c r="C20" s="55"/>
      <c r="D20" s="55"/>
      <c r="E20" s="55"/>
      <c r="F20" s="55"/>
      <c r="G20" s="55"/>
      <c r="H20" s="55"/>
      <c r="I20" s="55"/>
      <c r="J20" s="55"/>
      <c r="K20" s="55"/>
      <c r="L20" s="55"/>
      <c r="M20" s="55"/>
      <c r="N20" s="55"/>
      <c r="O20" s="55"/>
      <c r="P20" s="55"/>
      <c r="Q20" s="55"/>
      <c r="R20" s="55"/>
    </row>
    <row r="21" spans="1:20" s="498" customFormat="1" hidden="1" x14ac:dyDescent="0.2">
      <c r="A21" s="55"/>
      <c r="B21" s="55"/>
      <c r="C21" s="55"/>
      <c r="D21" s="55"/>
      <c r="E21" s="55"/>
      <c r="F21" s="55"/>
      <c r="G21" s="55"/>
      <c r="H21" s="55"/>
      <c r="I21" s="55"/>
      <c r="J21" s="55"/>
      <c r="K21" s="55"/>
      <c r="L21" s="55"/>
      <c r="M21" s="55"/>
      <c r="N21" s="55"/>
      <c r="O21" s="55"/>
      <c r="P21" s="55"/>
      <c r="Q21" s="55"/>
      <c r="R21" s="55"/>
    </row>
    <row r="22" spans="1:20" s="498" customFormat="1" hidden="1" x14ac:dyDescent="0.2">
      <c r="A22" s="55"/>
      <c r="B22" s="55"/>
      <c r="C22" s="55"/>
      <c r="D22" s="55"/>
      <c r="E22" s="55"/>
      <c r="F22" s="55"/>
      <c r="G22" s="55"/>
      <c r="H22" s="55"/>
      <c r="I22" s="55"/>
      <c r="J22" s="55"/>
      <c r="K22" s="55"/>
      <c r="L22" s="55"/>
      <c r="M22" s="55"/>
      <c r="N22" s="55"/>
      <c r="O22" s="55"/>
      <c r="P22" s="55"/>
      <c r="Q22" s="55"/>
      <c r="R22" s="55"/>
    </row>
    <row r="23" spans="1:20" s="498" customFormat="1" hidden="1" x14ac:dyDescent="0.2">
      <c r="A23" s="55"/>
      <c r="B23" s="55"/>
      <c r="C23" s="55"/>
      <c r="D23" s="55"/>
      <c r="E23" s="55"/>
      <c r="F23" s="55"/>
      <c r="G23" s="55"/>
      <c r="H23" s="55"/>
      <c r="I23" s="55"/>
      <c r="J23" s="55"/>
      <c r="K23" s="55"/>
      <c r="L23" s="55"/>
      <c r="M23" s="55"/>
      <c r="N23" s="55"/>
      <c r="O23" s="55"/>
      <c r="P23" s="55"/>
      <c r="Q23" s="55"/>
      <c r="R23" s="55"/>
    </row>
    <row r="24" spans="1:20" s="498" customFormat="1" hidden="1" x14ac:dyDescent="0.2">
      <c r="A24" s="55"/>
      <c r="B24" s="55"/>
      <c r="C24" s="55"/>
      <c r="D24" s="55"/>
      <c r="E24" s="55"/>
      <c r="F24" s="55"/>
      <c r="G24" s="55"/>
      <c r="H24" s="55"/>
      <c r="I24" s="55"/>
      <c r="J24" s="55"/>
      <c r="K24" s="55"/>
      <c r="L24" s="55"/>
      <c r="M24" s="55"/>
      <c r="N24" s="55"/>
      <c r="O24" s="55"/>
      <c r="P24" s="55"/>
      <c r="Q24" s="55"/>
      <c r="R24" s="55"/>
      <c r="S24" s="55"/>
      <c r="T24" s="55"/>
    </row>
    <row r="25" spans="1:20" s="498" customFormat="1" hidden="1" x14ac:dyDescent="0.2">
      <c r="A25" s="55"/>
      <c r="B25" s="55"/>
      <c r="C25" s="55"/>
      <c r="D25" s="55"/>
      <c r="E25" s="55"/>
      <c r="F25" s="55"/>
      <c r="G25" s="55"/>
      <c r="H25" s="55"/>
      <c r="I25" s="55"/>
      <c r="J25" s="55"/>
      <c r="K25" s="55"/>
      <c r="L25" s="55"/>
      <c r="M25" s="55"/>
      <c r="N25" s="55"/>
      <c r="O25" s="55"/>
      <c r="P25" s="55"/>
      <c r="Q25" s="55"/>
      <c r="R25" s="55"/>
      <c r="S25" s="55"/>
      <c r="T25" s="55"/>
    </row>
    <row r="26" spans="1:20" s="498" customFormat="1" hidden="1" x14ac:dyDescent="0.2">
      <c r="A26" s="55"/>
      <c r="B26" s="55"/>
      <c r="C26" s="55"/>
      <c r="D26" s="55"/>
      <c r="E26" s="55"/>
      <c r="F26" s="55"/>
      <c r="G26" s="55"/>
      <c r="H26" s="55"/>
      <c r="I26" s="55"/>
      <c r="J26" s="55"/>
      <c r="K26" s="55"/>
      <c r="L26" s="55"/>
      <c r="M26" s="55"/>
      <c r="N26" s="55"/>
      <c r="O26" s="55"/>
      <c r="P26" s="55"/>
      <c r="Q26" s="55"/>
      <c r="R26" s="55"/>
      <c r="S26" s="55"/>
      <c r="T26" s="55"/>
    </row>
    <row r="27" spans="1:20" s="506" customFormat="1" hidden="1" x14ac:dyDescent="0.2">
      <c r="A27" s="55"/>
      <c r="B27" s="55"/>
      <c r="C27" s="55"/>
      <c r="D27" s="55"/>
      <c r="E27" s="55"/>
      <c r="F27" s="55"/>
      <c r="G27" s="55"/>
      <c r="H27" s="55"/>
      <c r="I27" s="55"/>
      <c r="J27" s="55"/>
      <c r="K27" s="55"/>
      <c r="L27" s="55"/>
      <c r="M27" s="55"/>
      <c r="N27" s="55"/>
      <c r="O27" s="55"/>
      <c r="P27" s="55"/>
      <c r="Q27" s="55"/>
      <c r="R27" s="55"/>
      <c r="S27" s="55"/>
      <c r="T27" s="55"/>
    </row>
    <row r="28" spans="1:20" s="506" customFormat="1" hidden="1" x14ac:dyDescent="0.2">
      <c r="A28" s="55"/>
      <c r="B28" s="55"/>
      <c r="C28" s="55"/>
      <c r="D28" s="55"/>
      <c r="E28" s="55"/>
      <c r="F28" s="55"/>
      <c r="G28" s="55"/>
      <c r="H28" s="55"/>
      <c r="I28" s="55"/>
      <c r="J28" s="55"/>
      <c r="K28" s="55"/>
      <c r="L28" s="55"/>
      <c r="M28" s="55"/>
      <c r="N28" s="55"/>
      <c r="O28" s="55"/>
      <c r="P28" s="55"/>
      <c r="Q28" s="55"/>
      <c r="R28" s="55"/>
      <c r="S28" s="55"/>
      <c r="T28" s="55"/>
    </row>
    <row r="29" spans="1:20" s="506" customFormat="1" hidden="1" x14ac:dyDescent="0.2">
      <c r="A29" s="55"/>
      <c r="B29" s="55"/>
      <c r="C29" s="55"/>
      <c r="D29" s="55"/>
      <c r="E29" s="55"/>
      <c r="F29" s="55"/>
      <c r="G29" s="55"/>
      <c r="H29" s="55"/>
      <c r="I29" s="55"/>
      <c r="J29" s="55"/>
      <c r="K29" s="55"/>
      <c r="L29" s="55"/>
      <c r="M29" s="55"/>
      <c r="N29" s="55"/>
      <c r="O29" s="55"/>
      <c r="P29" s="55"/>
      <c r="Q29" s="55"/>
      <c r="R29" s="55"/>
      <c r="S29" s="55"/>
      <c r="T29" s="55"/>
    </row>
    <row r="30" spans="1:20" s="506" customFormat="1" hidden="1" x14ac:dyDescent="0.2">
      <c r="A30" s="55"/>
      <c r="B30" s="55"/>
      <c r="C30" s="55"/>
      <c r="D30" s="55"/>
      <c r="E30" s="55"/>
      <c r="F30" s="55"/>
      <c r="G30" s="55"/>
      <c r="H30" s="55"/>
      <c r="I30" s="55"/>
      <c r="J30" s="55"/>
      <c r="K30" s="55"/>
      <c r="L30" s="55"/>
      <c r="M30" s="55"/>
      <c r="N30" s="55"/>
      <c r="O30" s="55"/>
      <c r="P30" s="55"/>
      <c r="Q30" s="55"/>
      <c r="R30" s="55"/>
      <c r="S30" s="55"/>
      <c r="T30" s="55"/>
    </row>
    <row r="31" spans="1:20" s="506" customFormat="1" hidden="1" x14ac:dyDescent="0.2">
      <c r="A31" s="55"/>
      <c r="B31" s="55"/>
      <c r="C31" s="55"/>
      <c r="D31" s="55"/>
      <c r="E31" s="55"/>
      <c r="F31" s="55"/>
      <c r="G31" s="55"/>
      <c r="H31" s="55"/>
      <c r="I31" s="55"/>
      <c r="J31" s="55"/>
      <c r="K31" s="55"/>
      <c r="L31" s="55"/>
      <c r="M31" s="55"/>
      <c r="N31" s="55"/>
      <c r="O31" s="55"/>
      <c r="P31" s="55"/>
      <c r="Q31" s="55"/>
      <c r="R31" s="55"/>
      <c r="S31" s="55"/>
      <c r="T31" s="55"/>
    </row>
    <row r="32" spans="1:20" s="506" customFormat="1" hidden="1" x14ac:dyDescent="0.2">
      <c r="A32" s="55"/>
      <c r="B32" s="55"/>
      <c r="C32" s="55"/>
      <c r="D32" s="55"/>
      <c r="E32" s="55"/>
      <c r="F32" s="55"/>
      <c r="G32" s="55"/>
      <c r="H32" s="55"/>
      <c r="I32" s="55"/>
      <c r="J32" s="55"/>
      <c r="K32" s="55"/>
      <c r="L32" s="55"/>
      <c r="M32" s="55"/>
      <c r="N32" s="55"/>
      <c r="O32" s="55"/>
      <c r="P32" s="55"/>
      <c r="Q32" s="55"/>
      <c r="R32" s="55"/>
      <c r="S32" s="55"/>
      <c r="T32" s="55"/>
    </row>
    <row r="33" spans="1:20" s="506" customFormat="1" hidden="1" x14ac:dyDescent="0.2">
      <c r="A33" s="55"/>
      <c r="B33" s="55"/>
      <c r="C33" s="55"/>
      <c r="D33" s="55"/>
      <c r="E33" s="55"/>
      <c r="F33" s="55"/>
      <c r="G33" s="55"/>
      <c r="H33" s="55"/>
      <c r="I33" s="55"/>
      <c r="J33" s="55"/>
      <c r="K33" s="55"/>
      <c r="L33" s="55"/>
      <c r="M33" s="55"/>
      <c r="N33" s="55"/>
      <c r="O33" s="55"/>
      <c r="P33" s="55"/>
      <c r="Q33" s="55"/>
      <c r="R33" s="55"/>
      <c r="S33" s="55"/>
      <c r="T33" s="55"/>
    </row>
    <row r="34" spans="1:20" s="506" customFormat="1" hidden="1" x14ac:dyDescent="0.2">
      <c r="A34" s="55"/>
      <c r="B34" s="55"/>
      <c r="C34" s="55"/>
      <c r="D34" s="55"/>
      <c r="E34" s="55"/>
      <c r="F34" s="55"/>
      <c r="G34" s="55"/>
      <c r="H34" s="55"/>
      <c r="I34" s="55"/>
      <c r="J34" s="55"/>
      <c r="K34" s="55"/>
      <c r="L34" s="55"/>
      <c r="M34" s="55"/>
      <c r="N34" s="55"/>
      <c r="O34" s="55"/>
      <c r="P34" s="55"/>
      <c r="Q34" s="55"/>
      <c r="R34" s="55"/>
      <c r="S34" s="55"/>
      <c r="T34" s="55"/>
    </row>
    <row r="35" spans="1:20" s="506" customFormat="1" hidden="1" x14ac:dyDescent="0.2">
      <c r="A35" s="55"/>
      <c r="B35" s="55"/>
      <c r="C35" s="55"/>
      <c r="D35" s="55"/>
      <c r="E35" s="55"/>
      <c r="F35" s="55"/>
      <c r="G35" s="55"/>
      <c r="H35" s="55"/>
      <c r="I35" s="55"/>
      <c r="J35" s="55"/>
      <c r="K35" s="55"/>
      <c r="L35" s="55"/>
      <c r="M35" s="55"/>
      <c r="N35" s="55"/>
      <c r="O35" s="55"/>
      <c r="P35" s="55"/>
      <c r="Q35" s="55"/>
      <c r="R35" s="55"/>
      <c r="S35" s="55"/>
      <c r="T35" s="55"/>
    </row>
    <row r="36" spans="1:20" s="506" customFormat="1" hidden="1" x14ac:dyDescent="0.2">
      <c r="A36" s="55"/>
      <c r="B36" s="55"/>
      <c r="C36" s="55"/>
      <c r="D36" s="55"/>
      <c r="E36" s="55"/>
      <c r="F36" s="55"/>
      <c r="G36" s="55"/>
      <c r="H36" s="55"/>
      <c r="I36" s="55"/>
      <c r="J36" s="55"/>
      <c r="K36" s="55"/>
      <c r="L36" s="55"/>
      <c r="M36" s="55"/>
      <c r="N36" s="55"/>
      <c r="O36" s="55"/>
      <c r="P36" s="55"/>
      <c r="Q36" s="55"/>
      <c r="R36" s="55"/>
      <c r="S36" s="55"/>
      <c r="T36" s="55"/>
    </row>
    <row r="37" spans="1:20" s="506" customFormat="1" hidden="1" x14ac:dyDescent="0.2">
      <c r="A37" s="55"/>
      <c r="B37" s="55"/>
      <c r="C37" s="55"/>
      <c r="D37" s="55"/>
      <c r="E37" s="55"/>
      <c r="F37" s="55"/>
      <c r="G37" s="55"/>
      <c r="H37" s="55"/>
      <c r="I37" s="55"/>
      <c r="J37" s="55"/>
      <c r="K37" s="55"/>
      <c r="L37" s="55"/>
      <c r="M37" s="55"/>
      <c r="N37" s="55"/>
      <c r="O37" s="55"/>
      <c r="P37" s="55"/>
      <c r="Q37" s="55"/>
      <c r="R37" s="55"/>
      <c r="S37" s="55"/>
      <c r="T37" s="55"/>
    </row>
    <row r="38" spans="1:20" s="506" customFormat="1" hidden="1" x14ac:dyDescent="0.2">
      <c r="A38" s="55"/>
      <c r="B38" s="55"/>
      <c r="C38" s="55"/>
      <c r="D38" s="55"/>
      <c r="E38" s="55"/>
      <c r="F38" s="55"/>
      <c r="G38" s="55"/>
      <c r="H38" s="55"/>
      <c r="I38" s="55"/>
      <c r="J38" s="55"/>
      <c r="K38" s="55"/>
      <c r="L38" s="55"/>
      <c r="M38" s="55"/>
      <c r="N38" s="55"/>
      <c r="O38" s="55"/>
      <c r="P38" s="55"/>
      <c r="Q38" s="55"/>
      <c r="R38" s="55"/>
      <c r="S38" s="55"/>
      <c r="T38" s="55"/>
    </row>
    <row r="39" spans="1:20" s="506" customFormat="1" hidden="1" x14ac:dyDescent="0.2">
      <c r="A39" s="55"/>
      <c r="B39" s="55"/>
      <c r="C39" s="55"/>
      <c r="D39" s="55"/>
      <c r="E39" s="55"/>
      <c r="F39" s="55"/>
      <c r="G39" s="55"/>
      <c r="H39" s="55"/>
      <c r="I39" s="55"/>
      <c r="J39" s="55"/>
      <c r="K39" s="55"/>
      <c r="L39" s="55"/>
      <c r="M39" s="55"/>
      <c r="N39" s="55"/>
      <c r="O39" s="55"/>
      <c r="P39" s="55"/>
      <c r="Q39" s="55"/>
      <c r="R39" s="55"/>
      <c r="S39" s="55"/>
      <c r="T39" s="55"/>
    </row>
    <row r="40" spans="1:20" s="506" customFormat="1" hidden="1" x14ac:dyDescent="0.2">
      <c r="A40" s="55"/>
      <c r="B40" s="55"/>
      <c r="C40" s="55"/>
      <c r="D40" s="55"/>
      <c r="E40" s="55"/>
      <c r="F40" s="55"/>
      <c r="G40" s="55"/>
      <c r="H40" s="55"/>
      <c r="I40" s="55"/>
      <c r="J40" s="55"/>
      <c r="K40" s="55"/>
      <c r="L40" s="55"/>
      <c r="M40" s="55"/>
      <c r="N40" s="55"/>
      <c r="O40" s="55"/>
      <c r="P40" s="55"/>
      <c r="Q40" s="55"/>
      <c r="R40" s="55"/>
      <c r="S40" s="55"/>
      <c r="T40" s="55"/>
    </row>
    <row r="41" spans="1:20" s="498" customFormat="1" hidden="1" x14ac:dyDescent="0.2">
      <c r="A41" s="55"/>
      <c r="B41" s="55"/>
      <c r="C41" s="55"/>
      <c r="D41" s="55"/>
      <c r="E41" s="55"/>
      <c r="F41" s="55"/>
      <c r="G41" s="55"/>
      <c r="H41" s="55"/>
      <c r="I41" s="55"/>
      <c r="J41" s="55"/>
      <c r="K41" s="55"/>
      <c r="L41" s="55"/>
      <c r="M41" s="55"/>
      <c r="N41" s="55"/>
      <c r="O41" s="55"/>
      <c r="P41" s="55"/>
      <c r="Q41" s="55"/>
      <c r="R41" s="55"/>
      <c r="S41" s="55"/>
      <c r="T41" s="55"/>
    </row>
    <row r="42" spans="1:20" s="498" customFormat="1" hidden="1" x14ac:dyDescent="0.2">
      <c r="A42" s="55"/>
      <c r="B42" s="55"/>
      <c r="C42" s="55"/>
      <c r="D42" s="55"/>
      <c r="E42" s="55"/>
      <c r="F42" s="55"/>
      <c r="G42" s="55"/>
      <c r="H42" s="55"/>
      <c r="I42" s="55"/>
      <c r="J42" s="55"/>
      <c r="K42" s="55"/>
      <c r="L42" s="55"/>
      <c r="M42" s="55"/>
      <c r="N42" s="55"/>
      <c r="O42" s="55"/>
      <c r="P42" s="55"/>
      <c r="Q42" s="55"/>
      <c r="R42" s="55"/>
      <c r="S42" s="55"/>
      <c r="T42" s="55"/>
    </row>
    <row r="43" spans="1:20" s="498" customFormat="1" hidden="1" x14ac:dyDescent="0.2">
      <c r="A43" s="55"/>
      <c r="B43" s="55"/>
      <c r="C43" s="55"/>
      <c r="D43" s="55"/>
      <c r="E43" s="55"/>
      <c r="F43" s="55"/>
      <c r="G43" s="55"/>
      <c r="H43" s="55"/>
      <c r="I43" s="55"/>
      <c r="J43" s="55"/>
      <c r="K43" s="55"/>
      <c r="L43" s="55"/>
      <c r="M43" s="55"/>
      <c r="N43" s="55"/>
      <c r="O43" s="55"/>
      <c r="P43" s="55"/>
      <c r="Q43" s="55"/>
      <c r="R43" s="55"/>
      <c r="S43" s="55"/>
      <c r="T43" s="55"/>
    </row>
    <row r="44" spans="1:20" s="498" customFormat="1" hidden="1" x14ac:dyDescent="0.2">
      <c r="A44" s="55"/>
      <c r="B44" s="55"/>
      <c r="C44" s="55"/>
      <c r="D44" s="55"/>
      <c r="E44" s="55"/>
      <c r="F44" s="55"/>
      <c r="G44" s="55"/>
      <c r="H44" s="55"/>
      <c r="I44" s="55"/>
      <c r="J44" s="55"/>
      <c r="K44" s="55"/>
      <c r="L44" s="55"/>
      <c r="M44" s="55"/>
      <c r="N44" s="55"/>
      <c r="O44" s="55"/>
      <c r="P44" s="55"/>
      <c r="Q44" s="55"/>
      <c r="R44" s="55"/>
      <c r="S44" s="55"/>
      <c r="T44" s="55"/>
    </row>
    <row r="45" spans="1:20" s="498" customFormat="1" hidden="1" x14ac:dyDescent="0.2">
      <c r="A45" s="55"/>
      <c r="B45" s="55"/>
      <c r="C45" s="55"/>
      <c r="D45" s="55"/>
      <c r="E45" s="55"/>
      <c r="F45" s="55"/>
      <c r="G45" s="55"/>
      <c r="H45" s="55"/>
      <c r="I45" s="55"/>
      <c r="J45" s="55"/>
      <c r="K45" s="55"/>
      <c r="L45" s="55"/>
      <c r="M45" s="55"/>
      <c r="N45" s="55"/>
      <c r="O45" s="55"/>
      <c r="P45" s="55"/>
      <c r="Q45" s="55"/>
      <c r="R45" s="55"/>
      <c r="S45" s="55"/>
      <c r="T45" s="55"/>
    </row>
    <row r="46" spans="1:20" s="498" customFormat="1" hidden="1" x14ac:dyDescent="0.2">
      <c r="A46" s="55"/>
      <c r="B46" s="55"/>
      <c r="C46" s="55"/>
      <c r="D46" s="55"/>
      <c r="E46" s="55"/>
      <c r="F46" s="55"/>
      <c r="G46" s="55"/>
      <c r="H46" s="55"/>
      <c r="I46" s="55"/>
      <c r="J46" s="55"/>
      <c r="K46" s="55"/>
      <c r="L46" s="55"/>
      <c r="M46" s="55"/>
      <c r="N46" s="55"/>
      <c r="O46" s="55"/>
      <c r="P46" s="55"/>
      <c r="Q46" s="55"/>
      <c r="R46" s="55"/>
      <c r="S46" s="55"/>
      <c r="T46" s="55"/>
    </row>
    <row r="47" spans="1:20" s="506" customFormat="1" hidden="1" x14ac:dyDescent="0.2">
      <c r="A47" s="55"/>
      <c r="B47" s="55"/>
      <c r="C47" s="55"/>
      <c r="D47" s="55"/>
      <c r="E47" s="55"/>
      <c r="F47" s="55"/>
      <c r="G47" s="55"/>
      <c r="H47" s="55"/>
      <c r="I47" s="55"/>
      <c r="J47" s="55"/>
      <c r="K47" s="55"/>
      <c r="L47" s="55"/>
      <c r="M47" s="55"/>
      <c r="N47" s="55"/>
      <c r="O47" s="55"/>
      <c r="P47" s="55"/>
      <c r="Q47" s="55"/>
      <c r="R47" s="55"/>
      <c r="S47" s="55"/>
      <c r="T47" s="55"/>
    </row>
    <row r="48" spans="1:20" s="498" customFormat="1" hidden="1" x14ac:dyDescent="0.2">
      <c r="A48" s="55"/>
      <c r="B48" s="55"/>
      <c r="C48" s="55"/>
      <c r="D48" s="55"/>
      <c r="E48" s="55"/>
      <c r="F48" s="55"/>
      <c r="G48" s="55"/>
      <c r="H48" s="55"/>
      <c r="I48" s="55"/>
      <c r="J48" s="55"/>
      <c r="K48" s="55"/>
      <c r="L48" s="55"/>
      <c r="M48" s="55"/>
      <c r="N48" s="55"/>
      <c r="O48" s="55"/>
      <c r="P48" s="55"/>
      <c r="Q48" s="55"/>
      <c r="R48" s="55"/>
      <c r="S48" s="55"/>
      <c r="T48" s="55"/>
    </row>
    <row r="49" spans="1:20" s="498" customFormat="1" hidden="1" x14ac:dyDescent="0.2">
      <c r="A49" s="55"/>
      <c r="B49" s="55"/>
      <c r="C49" s="55"/>
      <c r="D49" s="55"/>
      <c r="E49" s="55"/>
      <c r="F49" s="55"/>
      <c r="G49" s="55"/>
      <c r="H49" s="55"/>
      <c r="I49" s="55"/>
      <c r="J49" s="55"/>
      <c r="K49" s="55"/>
      <c r="L49" s="55"/>
      <c r="M49" s="55"/>
      <c r="N49" s="55"/>
      <c r="O49" s="55"/>
      <c r="P49" s="55"/>
      <c r="Q49" s="55"/>
      <c r="R49" s="55"/>
      <c r="S49" s="55"/>
      <c r="T49" s="55"/>
    </row>
    <row r="50" spans="1:20" s="498" customFormat="1" hidden="1" x14ac:dyDescent="0.2">
      <c r="A50" s="55"/>
      <c r="B50" s="55"/>
      <c r="C50" s="55"/>
      <c r="D50" s="55"/>
      <c r="E50" s="55"/>
      <c r="F50" s="55"/>
      <c r="G50" s="55"/>
      <c r="H50" s="55"/>
      <c r="I50" s="55"/>
      <c r="J50" s="55"/>
      <c r="K50" s="55"/>
      <c r="L50" s="55"/>
      <c r="M50" s="55"/>
      <c r="N50" s="55"/>
      <c r="O50" s="55"/>
      <c r="P50" s="55"/>
      <c r="Q50" s="55"/>
      <c r="R50" s="55"/>
      <c r="S50" s="55"/>
      <c r="T50" s="55"/>
    </row>
    <row r="51" spans="1:20" s="498" customFormat="1" hidden="1" x14ac:dyDescent="0.2">
      <c r="A51" s="55"/>
      <c r="B51" s="55"/>
      <c r="C51" s="55"/>
      <c r="D51" s="55"/>
      <c r="E51" s="55"/>
      <c r="F51" s="55"/>
      <c r="G51" s="55"/>
      <c r="H51" s="55"/>
      <c r="I51" s="55"/>
      <c r="J51" s="55"/>
      <c r="K51" s="55"/>
      <c r="L51" s="55"/>
      <c r="M51" s="55"/>
      <c r="N51" s="55"/>
      <c r="O51" s="55"/>
      <c r="P51" s="55"/>
      <c r="Q51" s="55"/>
      <c r="R51" s="55"/>
      <c r="S51" s="55"/>
      <c r="T51" s="55"/>
    </row>
    <row r="52" spans="1:20" s="498" customFormat="1" hidden="1" x14ac:dyDescent="0.2">
      <c r="A52" s="55"/>
      <c r="B52" s="55"/>
      <c r="C52" s="55"/>
      <c r="D52" s="55"/>
      <c r="E52" s="55"/>
      <c r="F52" s="55"/>
      <c r="G52" s="55"/>
      <c r="H52" s="55"/>
      <c r="I52" s="55"/>
      <c r="J52" s="55"/>
      <c r="K52" s="55"/>
      <c r="L52" s="55"/>
      <c r="M52" s="55"/>
      <c r="N52" s="55"/>
      <c r="O52" s="55"/>
      <c r="P52" s="55"/>
      <c r="Q52" s="55"/>
      <c r="R52" s="55"/>
      <c r="S52" s="55"/>
      <c r="T52" s="55"/>
    </row>
    <row r="53" spans="1:20" s="498" customFormat="1" hidden="1" x14ac:dyDescent="0.2">
      <c r="A53" s="55"/>
      <c r="B53" s="55"/>
      <c r="C53" s="55"/>
      <c r="D53" s="55"/>
      <c r="E53" s="55"/>
      <c r="F53" s="55"/>
      <c r="G53" s="55"/>
      <c r="H53" s="55"/>
      <c r="I53" s="55"/>
      <c r="J53" s="55"/>
      <c r="K53" s="55"/>
      <c r="L53" s="55"/>
      <c r="M53" s="55"/>
      <c r="N53" s="55"/>
      <c r="O53" s="55"/>
      <c r="P53" s="55"/>
      <c r="Q53" s="55"/>
      <c r="R53" s="55"/>
      <c r="S53" s="55"/>
      <c r="T53" s="55"/>
    </row>
    <row r="54" spans="1:20" s="498" customFormat="1" hidden="1" x14ac:dyDescent="0.2">
      <c r="A54" s="55"/>
      <c r="B54" s="55"/>
      <c r="C54" s="55"/>
      <c r="D54" s="55"/>
      <c r="E54" s="55"/>
      <c r="F54" s="55"/>
      <c r="G54" s="55"/>
      <c r="H54" s="55"/>
      <c r="I54" s="55"/>
      <c r="J54" s="55"/>
      <c r="K54" s="55"/>
      <c r="L54" s="55"/>
      <c r="M54" s="55"/>
      <c r="N54" s="55"/>
      <c r="O54" s="55"/>
      <c r="P54" s="55"/>
      <c r="Q54" s="55"/>
      <c r="R54" s="55"/>
      <c r="S54" s="55"/>
      <c r="T54" s="55"/>
    </row>
    <row r="55" spans="1:20" s="506" customFormat="1" hidden="1" x14ac:dyDescent="0.2">
      <c r="A55" s="55"/>
      <c r="B55" s="55"/>
      <c r="C55" s="55"/>
      <c r="D55" s="55"/>
      <c r="E55" s="55"/>
      <c r="F55" s="55"/>
      <c r="G55" s="55"/>
      <c r="H55" s="55"/>
      <c r="I55" s="55"/>
      <c r="J55" s="55"/>
      <c r="K55" s="55"/>
      <c r="L55" s="55"/>
      <c r="M55" s="55"/>
      <c r="N55" s="55"/>
      <c r="O55" s="55"/>
      <c r="P55" s="55"/>
      <c r="Q55" s="55"/>
      <c r="R55" s="55"/>
      <c r="S55" s="55"/>
      <c r="T55" s="55"/>
    </row>
    <row r="56" spans="1:20" s="506" customFormat="1" hidden="1" x14ac:dyDescent="0.2">
      <c r="A56" s="55"/>
      <c r="B56" s="55"/>
      <c r="C56" s="55"/>
      <c r="D56" s="55"/>
      <c r="E56" s="55"/>
      <c r="F56" s="55"/>
      <c r="G56" s="55"/>
      <c r="H56" s="55"/>
      <c r="I56" s="55"/>
      <c r="J56" s="55"/>
      <c r="K56" s="55"/>
      <c r="L56" s="55"/>
      <c r="M56" s="55"/>
      <c r="N56" s="55"/>
      <c r="O56" s="55"/>
      <c r="P56" s="55"/>
      <c r="Q56" s="55"/>
      <c r="R56" s="55"/>
      <c r="S56" s="55"/>
      <c r="T56" s="55"/>
    </row>
    <row r="57" spans="1:20" s="506" customFormat="1" hidden="1" x14ac:dyDescent="0.2">
      <c r="A57" s="55"/>
      <c r="B57" s="55"/>
      <c r="C57" s="55"/>
      <c r="D57" s="55"/>
      <c r="E57" s="55"/>
      <c r="F57" s="55"/>
      <c r="G57" s="55"/>
      <c r="H57" s="55"/>
      <c r="I57" s="55"/>
      <c r="J57" s="55"/>
      <c r="K57" s="55"/>
      <c r="L57" s="55"/>
      <c r="M57" s="55"/>
      <c r="N57" s="55"/>
      <c r="O57" s="55"/>
      <c r="P57" s="55"/>
      <c r="Q57" s="55"/>
      <c r="R57" s="55"/>
      <c r="S57" s="55"/>
      <c r="T57" s="55"/>
    </row>
    <row r="58" spans="1:20" s="506" customFormat="1" hidden="1" x14ac:dyDescent="0.2">
      <c r="A58" s="55"/>
      <c r="B58" s="55"/>
      <c r="C58" s="55"/>
      <c r="D58" s="55"/>
      <c r="E58" s="55"/>
      <c r="F58" s="55"/>
      <c r="G58" s="55"/>
      <c r="H58" s="55"/>
      <c r="I58" s="55"/>
      <c r="J58" s="55"/>
      <c r="K58" s="55"/>
      <c r="L58" s="55"/>
      <c r="M58" s="55"/>
      <c r="N58" s="55"/>
      <c r="O58" s="55"/>
      <c r="P58" s="55"/>
      <c r="Q58" s="55"/>
      <c r="R58" s="55"/>
      <c r="S58" s="55"/>
      <c r="T58" s="55"/>
    </row>
    <row r="59" spans="1:20" s="506" customFormat="1" hidden="1" x14ac:dyDescent="0.2">
      <c r="A59" s="55"/>
      <c r="B59" s="55"/>
      <c r="C59" s="55"/>
      <c r="D59" s="55"/>
      <c r="E59" s="55"/>
      <c r="F59" s="55"/>
      <c r="G59" s="55"/>
      <c r="H59" s="55"/>
      <c r="I59" s="55"/>
      <c r="J59" s="55"/>
      <c r="K59" s="55"/>
      <c r="L59" s="55"/>
      <c r="M59" s="55"/>
      <c r="N59" s="55"/>
      <c r="O59" s="55"/>
      <c r="P59" s="55"/>
      <c r="Q59" s="55"/>
      <c r="R59" s="55"/>
      <c r="S59" s="55"/>
      <c r="T59" s="55"/>
    </row>
    <row r="60" spans="1:20" s="506" customFormat="1" hidden="1" x14ac:dyDescent="0.2">
      <c r="A60" s="55"/>
      <c r="B60" s="55"/>
      <c r="C60" s="55"/>
      <c r="D60" s="55"/>
      <c r="E60" s="55"/>
      <c r="F60" s="55"/>
      <c r="G60" s="55"/>
      <c r="H60" s="55"/>
      <c r="I60" s="55"/>
      <c r="J60" s="55"/>
      <c r="K60" s="55"/>
      <c r="L60" s="55"/>
      <c r="M60" s="55"/>
      <c r="N60" s="55"/>
      <c r="O60" s="55"/>
      <c r="P60" s="55"/>
      <c r="Q60" s="55"/>
      <c r="R60" s="55"/>
      <c r="S60" s="55"/>
      <c r="T60" s="55"/>
    </row>
    <row r="61" spans="1:20" s="55" customFormat="1" hidden="1" x14ac:dyDescent="0.2"/>
    <row r="62" spans="1:20" s="55" customFormat="1" hidden="1" x14ac:dyDescent="0.2"/>
    <row r="63" spans="1:20" s="55" customFormat="1" hidden="1" x14ac:dyDescent="0.2"/>
    <row r="64" spans="1:20" s="55" customFormat="1" hidden="1" x14ac:dyDescent="0.2"/>
    <row r="65" s="55" customFormat="1" hidden="1" x14ac:dyDescent="0.2"/>
    <row r="66" s="55" customFormat="1" hidden="1" x14ac:dyDescent="0.2"/>
    <row r="67" s="55" customFormat="1" hidden="1" x14ac:dyDescent="0.2"/>
    <row r="68" s="55" customFormat="1" hidden="1" x14ac:dyDescent="0.2"/>
    <row r="69" s="55" customFormat="1" hidden="1" x14ac:dyDescent="0.2"/>
    <row r="70" s="55" customFormat="1" hidden="1" x14ac:dyDescent="0.2"/>
    <row r="71" s="55" customFormat="1" hidden="1" x14ac:dyDescent="0.2"/>
    <row r="72" s="55" customFormat="1" hidden="1" x14ac:dyDescent="0.2"/>
    <row r="73" s="55" customFormat="1" hidden="1" x14ac:dyDescent="0.2"/>
    <row r="74" s="55" customFormat="1" hidden="1" x14ac:dyDescent="0.2"/>
    <row r="75" s="55" customFormat="1" hidden="1" x14ac:dyDescent="0.2"/>
    <row r="76" s="55" customFormat="1" hidden="1" x14ac:dyDescent="0.2"/>
    <row r="77" s="55" customFormat="1" hidden="1" x14ac:dyDescent="0.2"/>
    <row r="78" s="55" customFormat="1" hidden="1" x14ac:dyDescent="0.2"/>
    <row r="79" s="55" customFormat="1" hidden="1" x14ac:dyDescent="0.2"/>
    <row r="80" s="55" customFormat="1" hidden="1" x14ac:dyDescent="0.2"/>
    <row r="81" spans="1:20" s="55" customFormat="1" hidden="1" x14ac:dyDescent="0.2"/>
    <row r="82" spans="1:20" s="55" customFormat="1" hidden="1" x14ac:dyDescent="0.2"/>
    <row r="83" spans="1:20" s="55" customFormat="1" hidden="1" x14ac:dyDescent="0.2"/>
    <row r="84" spans="1:20" s="55" customFormat="1" hidden="1" x14ac:dyDescent="0.2"/>
    <row r="85" spans="1:20" s="55" customFormat="1" hidden="1" x14ac:dyDescent="0.2"/>
    <row r="86" spans="1:20" s="55" customFormat="1" hidden="1" x14ac:dyDescent="0.2"/>
    <row r="87" spans="1:20" s="55" customFormat="1" hidden="1" x14ac:dyDescent="0.2"/>
    <row r="88" spans="1:20" s="55" customFormat="1" hidden="1" x14ac:dyDescent="0.2"/>
    <row r="89" spans="1:20" s="55" customFormat="1" hidden="1" x14ac:dyDescent="0.2"/>
    <row r="90" spans="1:20" s="55" customFormat="1" hidden="1" x14ac:dyDescent="0.2"/>
    <row r="91" spans="1:20" s="55" customFormat="1" hidden="1" x14ac:dyDescent="0.2"/>
    <row r="92" spans="1:20" s="55" customFormat="1" hidden="1" x14ac:dyDescent="0.2"/>
    <row r="93" spans="1:20" s="55" customFormat="1" hidden="1" x14ac:dyDescent="0.2"/>
    <row r="94" spans="1:20" s="55" customFormat="1" hidden="1" x14ac:dyDescent="0.2"/>
    <row r="95" spans="1:20" s="552" customFormat="1" hidden="1" x14ac:dyDescent="0.2">
      <c r="A95" s="55"/>
      <c r="B95" s="55"/>
      <c r="C95" s="55"/>
      <c r="D95" s="55"/>
      <c r="E95" s="55"/>
      <c r="F95" s="55"/>
      <c r="G95" s="55"/>
      <c r="H95" s="55"/>
      <c r="I95" s="55"/>
      <c r="J95" s="55"/>
      <c r="K95" s="55"/>
      <c r="L95" s="55"/>
      <c r="M95" s="55"/>
      <c r="N95" s="55"/>
      <c r="O95" s="55"/>
      <c r="P95" s="55"/>
      <c r="Q95" s="55"/>
      <c r="R95" s="55"/>
      <c r="S95" s="55"/>
      <c r="T95" s="55"/>
    </row>
    <row r="96" spans="1:20" hidden="1" x14ac:dyDescent="0.2">
      <c r="A96" s="55"/>
      <c r="B96" s="55"/>
      <c r="C96" s="55"/>
      <c r="D96" s="55"/>
      <c r="E96" s="55"/>
      <c r="F96" s="55"/>
      <c r="G96" s="55"/>
      <c r="H96" s="55"/>
      <c r="I96" s="55"/>
      <c r="J96" s="55"/>
      <c r="K96" s="55"/>
      <c r="L96" s="55"/>
      <c r="M96" s="55"/>
      <c r="N96" s="55"/>
      <c r="O96" s="55"/>
      <c r="P96" s="55"/>
      <c r="Q96" s="55"/>
      <c r="R96" s="55"/>
      <c r="S96" s="55"/>
      <c r="T96" s="55"/>
    </row>
    <row r="97" spans="1:20" hidden="1" x14ac:dyDescent="0.2">
      <c r="A97" s="55"/>
      <c r="B97" s="55"/>
      <c r="C97" s="55"/>
      <c r="D97" s="55"/>
      <c r="E97" s="55"/>
      <c r="F97" s="55"/>
      <c r="G97" s="55"/>
      <c r="H97" s="55"/>
      <c r="I97" s="55"/>
      <c r="J97" s="55"/>
      <c r="K97" s="55"/>
      <c r="L97" s="55"/>
      <c r="M97" s="55"/>
      <c r="N97" s="55"/>
      <c r="O97" s="55"/>
      <c r="P97" s="55"/>
      <c r="Q97" s="55"/>
      <c r="R97" s="55"/>
      <c r="S97" s="55"/>
      <c r="T97" s="55"/>
    </row>
    <row r="98" spans="1:20" x14ac:dyDescent="0.2">
      <c r="A98" s="55"/>
      <c r="B98" s="55"/>
      <c r="C98" s="55"/>
      <c r="D98" s="55"/>
      <c r="E98" s="55"/>
      <c r="F98" s="55"/>
      <c r="G98" s="55"/>
      <c r="H98" s="55"/>
      <c r="I98" s="55"/>
      <c r="J98" s="55"/>
      <c r="K98" s="55"/>
      <c r="L98" s="55"/>
      <c r="M98" s="55"/>
      <c r="N98" s="55"/>
      <c r="O98" s="55"/>
      <c r="P98" s="55"/>
      <c r="Q98" s="55"/>
      <c r="R98" s="55"/>
      <c r="S98" s="55"/>
      <c r="T98" s="55"/>
    </row>
    <row r="99" spans="1:20" x14ac:dyDescent="0.2">
      <c r="A99" s="553" t="s">
        <v>593</v>
      </c>
      <c r="B99" s="554"/>
      <c r="C99" s="525"/>
      <c r="D99" s="525"/>
      <c r="E99" s="525"/>
      <c r="F99" s="527"/>
      <c r="G99" s="550"/>
      <c r="H99" s="55"/>
      <c r="I99" s="35"/>
      <c r="J99" s="668"/>
      <c r="K99" s="668"/>
      <c r="L99" s="32"/>
      <c r="M99" s="668"/>
      <c r="N99" s="668"/>
    </row>
    <row r="100" spans="1:20" x14ac:dyDescent="0.2">
      <c r="A100" s="55"/>
      <c r="B100" s="55"/>
      <c r="C100" s="55"/>
      <c r="D100" s="55"/>
      <c r="E100" s="55"/>
      <c r="F100" s="55"/>
      <c r="G100" s="55"/>
      <c r="H100" s="55"/>
      <c r="I100" s="35"/>
      <c r="J100" s="668"/>
      <c r="K100" s="668"/>
      <c r="M100" s="668"/>
      <c r="N100" s="668"/>
    </row>
    <row r="101" spans="1:20" x14ac:dyDescent="0.2">
      <c r="A101" s="558" t="s">
        <v>378</v>
      </c>
      <c r="B101" s="556" t="str">
        <f>IFERROR(INDEX(B$7:B$28,MATCH(A101,G$7:G$28,0)),"")</f>
        <v>Jaan Sepp, Mait Metsla, Oskar Sepp</v>
      </c>
      <c r="C101" s="557">
        <v>8</v>
      </c>
      <c r="D101" s="55"/>
      <c r="E101" s="55"/>
      <c r="F101" s="557"/>
      <c r="G101" s="557"/>
      <c r="H101" s="55"/>
      <c r="I101" s="35"/>
      <c r="J101" s="668"/>
      <c r="K101" s="668"/>
      <c r="M101" s="668"/>
      <c r="N101" s="668"/>
    </row>
    <row r="102" spans="1:20" x14ac:dyDescent="0.2">
      <c r="A102" s="558"/>
      <c r="B102" s="647"/>
      <c r="C102" s="560" t="str">
        <f>IF(COUNT(C101,C103)=2,IF(C101&gt;C103,B101,B103),"")</f>
        <v>Boriss Klubov, Elmo Lageda, Tõnu Piik</v>
      </c>
      <c r="D102" s="55"/>
      <c r="E102" s="55"/>
      <c r="F102" s="55"/>
      <c r="G102" s="557">
        <v>13</v>
      </c>
      <c r="H102" s="55"/>
      <c r="I102" s="55"/>
      <c r="J102" s="668"/>
      <c r="K102" s="668"/>
      <c r="L102" s="32"/>
      <c r="M102" s="668"/>
      <c r="N102" s="668"/>
    </row>
    <row r="103" spans="1:20" x14ac:dyDescent="0.2">
      <c r="A103" s="558" t="s">
        <v>384</v>
      </c>
      <c r="B103" s="561" t="str">
        <f>IFERROR(INDEX(B$7:B$28,MATCH(A103,G$7:G$28,0)),"")</f>
        <v>Boriss Klubov, Elmo Lageda, Tõnu Piik</v>
      </c>
      <c r="C103" s="562">
        <v>13</v>
      </c>
      <c r="D103" s="646"/>
      <c r="E103" s="646"/>
      <c r="F103" s="648"/>
      <c r="G103" s="557"/>
      <c r="H103" s="55"/>
      <c r="I103" s="55"/>
      <c r="J103" s="668"/>
      <c r="K103" s="668"/>
      <c r="M103" s="668"/>
      <c r="N103" s="668"/>
    </row>
    <row r="104" spans="1:20" ht="13.5" thickBot="1" x14ac:dyDescent="0.25">
      <c r="A104" s="558"/>
      <c r="B104" s="557"/>
      <c r="C104" s="575"/>
      <c r="D104" s="554"/>
      <c r="E104" s="554"/>
      <c r="F104" s="576"/>
      <c r="G104" s="557"/>
      <c r="H104" s="567" t="str">
        <f>IF(COUNT(G102,G106)=2,IF(G102&gt;G106,C102,C106),"")</f>
        <v>Boriss Klubov, Elmo Lageda, Tõnu Piik</v>
      </c>
      <c r="I104" s="55"/>
      <c r="J104" s="668"/>
      <c r="K104" s="668"/>
      <c r="M104" s="668"/>
      <c r="N104" s="668"/>
    </row>
    <row r="105" spans="1:20" x14ac:dyDescent="0.2">
      <c r="A105" s="558" t="s">
        <v>380</v>
      </c>
      <c r="B105" s="556" t="str">
        <f>IFERROR(INDEX(B$7:B$28,MATCH(A105,G$7:G$28,0)),"")</f>
        <v>Ivar Viljaste, Matti Vinni, Sirje Viljaste</v>
      </c>
      <c r="C105" s="557">
        <v>13</v>
      </c>
      <c r="D105" s="554"/>
      <c r="E105" s="554"/>
      <c r="F105" s="576"/>
      <c r="G105" s="577"/>
      <c r="H105" s="569" t="s">
        <v>383</v>
      </c>
      <c r="I105" s="845"/>
      <c r="J105" s="668"/>
      <c r="K105" s="668"/>
      <c r="M105" s="668"/>
      <c r="N105" s="668"/>
    </row>
    <row r="106" spans="1:20" x14ac:dyDescent="0.2">
      <c r="A106" s="558"/>
      <c r="B106" s="647"/>
      <c r="C106" s="560" t="str">
        <f>IF(COUNT(C105,C107)=2,IF(C105&gt;C107,B105,B107),"")</f>
        <v>Ivar Viljaste, Matti Vinni, Sirje Viljaste</v>
      </c>
      <c r="D106" s="842"/>
      <c r="E106" s="842"/>
      <c r="F106" s="566"/>
      <c r="G106" s="562">
        <v>9</v>
      </c>
      <c r="H106" s="55"/>
      <c r="I106" s="846"/>
      <c r="J106" s="668"/>
      <c r="K106" s="668"/>
      <c r="L106" s="32"/>
      <c r="M106" s="668"/>
      <c r="N106" s="668"/>
    </row>
    <row r="107" spans="1:20" ht="13.5" thickBot="1" x14ac:dyDescent="0.25">
      <c r="A107" s="558" t="s">
        <v>385</v>
      </c>
      <c r="B107" s="561" t="str">
        <f>IFERROR(INDEX(B$7:B$28,MATCH(A107,G$7:G$28,0)),"")</f>
        <v>Enn Tokman, Tõnu Kapper, Vladimir Ogneštšikov</v>
      </c>
      <c r="C107" s="562">
        <v>1</v>
      </c>
      <c r="D107" s="55"/>
      <c r="E107" s="55"/>
      <c r="F107" s="557"/>
      <c r="G107" s="575"/>
      <c r="H107" s="567" t="str">
        <f>IF(COUNT(G102,G106)=2,IF(G102&lt;G106,C102,C106),"")</f>
        <v>Ivar Viljaste, Matti Vinni, Sirje Viljaste</v>
      </c>
      <c r="I107" s="847"/>
      <c r="J107" s="668"/>
      <c r="K107" s="668"/>
      <c r="M107" s="668"/>
      <c r="N107" s="668"/>
    </row>
    <row r="108" spans="1:20" x14ac:dyDescent="0.2">
      <c r="A108" s="55"/>
      <c r="B108" s="557"/>
      <c r="C108" s="557"/>
      <c r="D108" s="55"/>
      <c r="E108" s="55"/>
      <c r="F108" s="557"/>
      <c r="G108" s="575"/>
      <c r="H108" s="569" t="s">
        <v>386</v>
      </c>
      <c r="J108" s="668"/>
      <c r="K108" s="668"/>
      <c r="L108" s="32"/>
      <c r="M108" s="668"/>
      <c r="N108" s="668"/>
    </row>
    <row r="109" spans="1:20" x14ac:dyDescent="0.2">
      <c r="A109" s="55"/>
      <c r="B109" s="557"/>
      <c r="C109" s="551" t="str">
        <f>IF(COUNT(C101,C103)=2,IF(C101&lt;C103,B101,B103),"")</f>
        <v>Jaan Sepp, Mait Metsla, Oskar Sepp</v>
      </c>
      <c r="D109" s="55"/>
      <c r="E109" s="55"/>
      <c r="F109" s="55"/>
      <c r="G109" s="557">
        <v>11</v>
      </c>
      <c r="H109" s="554"/>
      <c r="J109" s="668"/>
      <c r="K109" s="668"/>
      <c r="L109" s="32"/>
      <c r="M109" s="668"/>
      <c r="N109" s="668"/>
    </row>
    <row r="110" spans="1:20" ht="13.5" thickBot="1" x14ac:dyDescent="0.25">
      <c r="A110" s="55"/>
      <c r="B110" s="557"/>
      <c r="C110" s="646"/>
      <c r="D110" s="646"/>
      <c r="E110" s="646"/>
      <c r="F110" s="645"/>
      <c r="G110" s="571"/>
      <c r="H110" s="567" t="str">
        <f>IF(COUNT(G109,G111)=2,IF(G109&gt;G111,C109,C111),"")</f>
        <v>Enn Tokman, Tõnu Kapper, Vladimir Ogneštšikov</v>
      </c>
      <c r="J110" s="668"/>
      <c r="K110" s="668"/>
      <c r="L110" s="32"/>
      <c r="M110" s="668"/>
      <c r="N110" s="668"/>
    </row>
    <row r="111" spans="1:20" x14ac:dyDescent="0.2">
      <c r="A111" s="55"/>
      <c r="B111" s="557"/>
      <c r="C111" s="572" t="str">
        <f>IF(COUNT(C105,C107)=2,IF(C105&lt;C107,B105,B107),"")</f>
        <v>Enn Tokman, Tõnu Kapper, Vladimir Ogneštšikov</v>
      </c>
      <c r="D111" s="842"/>
      <c r="E111" s="842"/>
      <c r="F111" s="566"/>
      <c r="G111" s="562">
        <v>13</v>
      </c>
      <c r="H111" s="523" t="s">
        <v>388</v>
      </c>
      <c r="I111" s="845"/>
      <c r="J111" s="668"/>
      <c r="K111" s="668"/>
      <c r="L111" s="32"/>
      <c r="M111" s="668"/>
      <c r="N111" s="668"/>
    </row>
    <row r="112" spans="1:20" x14ac:dyDescent="0.2">
      <c r="A112" s="55"/>
      <c r="B112" s="55"/>
      <c r="C112" s="55"/>
      <c r="D112" s="55"/>
      <c r="E112" s="55"/>
      <c r="F112" s="55"/>
      <c r="G112" s="55"/>
      <c r="H112" s="554"/>
      <c r="I112" s="846"/>
      <c r="J112" s="668"/>
      <c r="K112" s="668"/>
      <c r="L112" s="32"/>
      <c r="M112" s="668"/>
      <c r="N112" s="668"/>
    </row>
    <row r="113" spans="1:14" ht="13.5" thickBot="1" x14ac:dyDescent="0.25">
      <c r="A113" s="55"/>
      <c r="B113" s="55"/>
      <c r="C113" s="554"/>
      <c r="D113" s="55"/>
      <c r="E113" s="55"/>
      <c r="F113" s="554"/>
      <c r="G113" s="55"/>
      <c r="H113" s="571" t="str">
        <f>IF(COUNT(G109,G111)=2,IF(G109&lt;G111,C109,C111),"")</f>
        <v>Jaan Sepp, Mait Metsla, Oskar Sepp</v>
      </c>
      <c r="I113" s="847"/>
      <c r="J113" s="668"/>
      <c r="K113" s="668"/>
      <c r="L113" s="32"/>
      <c r="M113" s="668"/>
      <c r="N113" s="668"/>
    </row>
    <row r="114" spans="1:14" x14ac:dyDescent="0.2">
      <c r="A114" s="55"/>
      <c r="B114" s="527"/>
      <c r="C114" s="527"/>
      <c r="D114" s="55"/>
      <c r="E114" s="55"/>
      <c r="F114" s="527"/>
      <c r="G114" s="528"/>
      <c r="H114" s="569" t="s">
        <v>389</v>
      </c>
      <c r="J114" s="668"/>
      <c r="K114" s="668"/>
      <c r="M114" s="668"/>
      <c r="N114" s="668"/>
    </row>
    <row r="115" spans="1:14" x14ac:dyDescent="0.2">
      <c r="A115" s="55"/>
      <c r="B115" s="55"/>
      <c r="C115" s="55"/>
      <c r="D115" s="55"/>
      <c r="E115" s="55"/>
      <c r="F115" s="55"/>
      <c r="G115" s="55"/>
      <c r="H115" s="55"/>
      <c r="J115" s="668"/>
      <c r="K115" s="668"/>
      <c r="M115" s="668"/>
      <c r="N115" s="668"/>
    </row>
    <row r="116" spans="1:14" x14ac:dyDescent="0.2">
      <c r="A116" s="843" t="s">
        <v>594</v>
      </c>
      <c r="B116" s="55"/>
      <c r="C116" s="55"/>
      <c r="D116" s="55"/>
      <c r="E116" s="55"/>
      <c r="F116" s="55"/>
      <c r="G116" s="55"/>
      <c r="H116" s="55"/>
      <c r="J116" s="668"/>
      <c r="K116" s="668"/>
      <c r="L116" s="668"/>
      <c r="M116" s="668"/>
      <c r="N116" s="668"/>
    </row>
    <row r="117" spans="1:14" x14ac:dyDescent="0.2">
      <c r="A117" s="55"/>
      <c r="B117" s="55"/>
      <c r="C117" s="55"/>
      <c r="D117" s="55"/>
      <c r="E117" s="55"/>
      <c r="F117" s="55"/>
      <c r="G117" s="554"/>
      <c r="H117" s="554"/>
      <c r="J117" s="668"/>
      <c r="K117" s="668"/>
      <c r="L117" s="668"/>
      <c r="M117" s="668"/>
      <c r="N117" s="668"/>
    </row>
    <row r="118" spans="1:14" x14ac:dyDescent="0.2">
      <c r="A118" s="558" t="s">
        <v>394</v>
      </c>
      <c r="B118" s="556" t="str">
        <f>IFERROR(INDEX(B$7:B$28,MATCH(A118,G$7:G$28,0)),"")</f>
        <v>Aarne Välja, Janek Tarto, Romek Tarto</v>
      </c>
      <c r="C118" s="557">
        <v>13</v>
      </c>
      <c r="D118" s="55"/>
      <c r="E118" s="55"/>
      <c r="F118" s="557"/>
      <c r="G118" s="557"/>
      <c r="H118" s="55"/>
      <c r="J118" s="668"/>
      <c r="K118" s="668"/>
      <c r="L118" s="668"/>
      <c r="M118" s="668"/>
      <c r="N118" s="668"/>
    </row>
    <row r="119" spans="1:14" x14ac:dyDescent="0.2">
      <c r="A119" s="558"/>
      <c r="B119" s="647"/>
      <c r="C119" s="560" t="str">
        <f>IF(COUNT(C118,C120)=2,IF(C118&gt;C120,B118,B120),"")</f>
        <v>Aarne Välja, Janek Tarto, Romek Tarto</v>
      </c>
      <c r="D119" s="55"/>
      <c r="E119" s="55"/>
      <c r="F119" s="55"/>
      <c r="G119" s="557">
        <v>13</v>
      </c>
      <c r="H119" s="55"/>
      <c r="J119" s="668"/>
      <c r="K119" s="668"/>
      <c r="L119" s="668"/>
      <c r="M119" s="668"/>
      <c r="N119" s="668"/>
    </row>
    <row r="120" spans="1:14" x14ac:dyDescent="0.2">
      <c r="A120" s="558" t="s">
        <v>400</v>
      </c>
      <c r="B120" s="561" t="str">
        <f>IFERROR(INDEX(B$7:B$28,MATCH(A120,G$7:G$28,0)),"")</f>
        <v>Kenneth Muusikus, Urmas Randlaine, Urmas Jõeäär</v>
      </c>
      <c r="C120" s="562">
        <v>5</v>
      </c>
      <c r="D120" s="646"/>
      <c r="E120" s="646"/>
      <c r="F120" s="648"/>
      <c r="G120" s="557"/>
      <c r="H120" s="55"/>
      <c r="J120" s="668"/>
      <c r="K120" s="668"/>
      <c r="L120" s="668"/>
      <c r="M120" s="668"/>
      <c r="N120" s="668"/>
    </row>
    <row r="121" spans="1:14" ht="13.5" thickBot="1" x14ac:dyDescent="0.25">
      <c r="A121" s="558"/>
      <c r="B121" s="557"/>
      <c r="C121" s="575"/>
      <c r="D121" s="554"/>
      <c r="E121" s="554"/>
      <c r="F121" s="576"/>
      <c r="G121" s="557"/>
      <c r="H121" s="567" t="str">
        <f>IF(COUNT(G119,G123)=2,IF(G119&gt;G123,C119,C123),"")</f>
        <v>Aarne Välja, Janek Tarto, Romek Tarto</v>
      </c>
      <c r="J121" s="668"/>
      <c r="K121" s="668"/>
      <c r="L121" s="668"/>
      <c r="M121" s="668"/>
      <c r="N121" s="668"/>
    </row>
    <row r="122" spans="1:14" x14ac:dyDescent="0.2">
      <c r="A122" s="558" t="s">
        <v>396</v>
      </c>
      <c r="B122" s="556" t="str">
        <f>IFERROR(INDEX(B$7:B$28,MATCH(A122,G$7:G$28,0)),"")</f>
        <v>Argo Sepp, Karla Purgats, Lemmit Toomra</v>
      </c>
      <c r="C122" s="557">
        <v>7</v>
      </c>
      <c r="D122" s="554"/>
      <c r="E122" s="554"/>
      <c r="F122" s="576"/>
      <c r="G122" s="577"/>
      <c r="H122" s="569" t="s">
        <v>390</v>
      </c>
      <c r="I122" s="845"/>
      <c r="J122" s="668"/>
      <c r="K122" s="668"/>
      <c r="L122" s="668"/>
      <c r="M122" s="668"/>
      <c r="N122" s="668"/>
    </row>
    <row r="123" spans="1:14" x14ac:dyDescent="0.2">
      <c r="A123" s="558"/>
      <c r="B123" s="647"/>
      <c r="C123" s="560" t="str">
        <f>IF(COUNT(C122,C124)=2,IF(C122&gt;C124,B122,B124),"")</f>
        <v>Johannes Neiland, Oksana Sažina, Oleg Rõndenkov, Ülo Piik</v>
      </c>
      <c r="D123" s="842"/>
      <c r="E123" s="842"/>
      <c r="F123" s="566"/>
      <c r="G123" s="562">
        <v>4</v>
      </c>
      <c r="H123" s="55"/>
      <c r="I123" s="846"/>
      <c r="J123" s="668"/>
      <c r="K123" s="668"/>
      <c r="L123" s="668"/>
      <c r="M123" s="668"/>
      <c r="N123" s="668"/>
    </row>
    <row r="124" spans="1:14" ht="13.5" thickBot="1" x14ac:dyDescent="0.25">
      <c r="A124" s="558" t="s">
        <v>401</v>
      </c>
      <c r="B124" s="561" t="str">
        <f>IFERROR(INDEX(B$7:B$28,MATCH(A124,G$7:G$28,0)),"")</f>
        <v>Johannes Neiland, Oksana Sažina, Oleg Rõndenkov, Ülo Piik</v>
      </c>
      <c r="C124" s="562">
        <v>13</v>
      </c>
      <c r="D124" s="55"/>
      <c r="E124" s="55"/>
      <c r="F124" s="557"/>
      <c r="G124" s="575"/>
      <c r="H124" s="567" t="str">
        <f>IF(COUNT(G119,G123)=2,IF(G119&lt;G123,C119,C123),"")</f>
        <v>Johannes Neiland, Oksana Sažina, Oleg Rõndenkov, Ülo Piik</v>
      </c>
      <c r="I124" s="847"/>
      <c r="J124" s="668"/>
      <c r="K124" s="668"/>
      <c r="L124" s="668"/>
      <c r="M124" s="668"/>
      <c r="N124" s="668"/>
    </row>
    <row r="125" spans="1:14" x14ac:dyDescent="0.2">
      <c r="A125" s="55"/>
      <c r="B125" s="557"/>
      <c r="C125" s="557"/>
      <c r="D125" s="55"/>
      <c r="E125" s="55"/>
      <c r="F125" s="557"/>
      <c r="G125" s="575"/>
      <c r="H125" s="569" t="s">
        <v>391</v>
      </c>
      <c r="J125" s="668"/>
      <c r="K125" s="668"/>
      <c r="L125" s="668"/>
      <c r="M125" s="668"/>
      <c r="N125" s="668"/>
    </row>
    <row r="126" spans="1:14" x14ac:dyDescent="0.2">
      <c r="A126" s="55"/>
      <c r="B126" s="557"/>
      <c r="C126" s="551" t="str">
        <f>IF(COUNT(C118,C120)=2,IF(C118&lt;C120,B118,B120),"")</f>
        <v>Kenneth Muusikus, Urmas Randlaine, Urmas Jõeäär</v>
      </c>
      <c r="D126" s="55"/>
      <c r="E126" s="55"/>
      <c r="F126" s="55"/>
      <c r="G126" s="557">
        <v>13</v>
      </c>
      <c r="H126" s="554"/>
      <c r="J126" s="668"/>
      <c r="K126" s="668"/>
      <c r="L126" s="668"/>
      <c r="M126" s="668"/>
      <c r="N126" s="668"/>
    </row>
    <row r="127" spans="1:14" ht="13.5" thickBot="1" x14ac:dyDescent="0.25">
      <c r="A127" s="55"/>
      <c r="B127" s="557"/>
      <c r="C127" s="646"/>
      <c r="D127" s="646"/>
      <c r="E127" s="646"/>
      <c r="F127" s="645"/>
      <c r="G127" s="571"/>
      <c r="H127" s="567" t="str">
        <f>IF(COUNT(G126,G128)=2,IF(G126&gt;G128,C126,C128),"")</f>
        <v>Kenneth Muusikus, Urmas Randlaine, Urmas Jõeäär</v>
      </c>
      <c r="J127" s="668"/>
      <c r="K127" s="668"/>
      <c r="L127" s="668"/>
      <c r="M127" s="668"/>
      <c r="N127" s="668"/>
    </row>
    <row r="128" spans="1:14" x14ac:dyDescent="0.2">
      <c r="A128" s="55"/>
      <c r="B128" s="557"/>
      <c r="C128" s="572" t="str">
        <f>IF(COUNT(C122,C124)=2,IF(C122&lt;C124,B122,B124),"")</f>
        <v>Argo Sepp, Karla Purgats, Lemmit Toomra</v>
      </c>
      <c r="D128" s="842"/>
      <c r="E128" s="842"/>
      <c r="F128" s="566"/>
      <c r="G128" s="562">
        <v>10</v>
      </c>
      <c r="H128" s="569" t="s">
        <v>392</v>
      </c>
      <c r="I128" s="845"/>
      <c r="J128" s="668"/>
      <c r="K128" s="668"/>
      <c r="L128" s="668"/>
      <c r="M128" s="668"/>
      <c r="N128" s="668"/>
    </row>
    <row r="129" spans="1:17" x14ac:dyDescent="0.2">
      <c r="A129" s="55"/>
      <c r="B129" s="55"/>
      <c r="C129" s="55"/>
      <c r="D129" s="55"/>
      <c r="E129" s="55"/>
      <c r="F129" s="55"/>
      <c r="G129" s="55"/>
      <c r="H129" s="554"/>
      <c r="I129" s="846"/>
      <c r="J129" s="668"/>
      <c r="K129" s="668"/>
      <c r="L129" s="668"/>
      <c r="M129" s="668"/>
      <c r="N129" s="668"/>
    </row>
    <row r="130" spans="1:17" ht="13.5" thickBot="1" x14ac:dyDescent="0.25">
      <c r="A130" s="55"/>
      <c r="B130" s="55"/>
      <c r="C130" s="554"/>
      <c r="D130" s="55"/>
      <c r="E130" s="55"/>
      <c r="F130" s="554"/>
      <c r="G130" s="55"/>
      <c r="H130" s="571" t="str">
        <f>IF(COUNT(G126,G128)=2,IF(G126&lt;G128,C126,C128),"")</f>
        <v>Argo Sepp, Karla Purgats, Lemmit Toomra</v>
      </c>
      <c r="I130" s="847"/>
      <c r="J130" s="668"/>
      <c r="K130" s="668"/>
      <c r="L130" s="668"/>
      <c r="M130" s="668"/>
      <c r="N130" s="668"/>
    </row>
    <row r="131" spans="1:17" x14ac:dyDescent="0.2">
      <c r="A131" s="578"/>
      <c r="B131" s="527"/>
      <c r="C131" s="527"/>
      <c r="D131" s="506"/>
      <c r="E131" s="506"/>
      <c r="F131" s="527"/>
      <c r="G131" s="528"/>
      <c r="H131" s="569" t="s">
        <v>393</v>
      </c>
      <c r="J131" s="668"/>
      <c r="K131" s="668"/>
      <c r="L131" s="668"/>
      <c r="M131" s="668"/>
      <c r="N131" s="668"/>
    </row>
    <row r="132" spans="1:17" hidden="1" x14ac:dyDescent="0.2">
      <c r="A132" s="55"/>
      <c r="B132" s="55"/>
      <c r="C132" s="557"/>
      <c r="D132" s="575"/>
      <c r="E132" s="668"/>
      <c r="F132" s="668"/>
      <c r="G132" s="668"/>
      <c r="H132" s="668"/>
      <c r="I132" s="668"/>
      <c r="J132" s="668"/>
      <c r="K132" s="668"/>
      <c r="L132" s="668"/>
      <c r="M132" s="668"/>
      <c r="N132" s="668"/>
    </row>
    <row r="133" spans="1:17" hidden="1" x14ac:dyDescent="0.2">
      <c r="A133" s="55"/>
      <c r="B133" s="55"/>
      <c r="C133" s="55"/>
      <c r="D133" s="554"/>
      <c r="E133" s="668"/>
      <c r="F133" s="668"/>
      <c r="G133" s="668"/>
      <c r="H133" s="668"/>
      <c r="I133" s="668"/>
      <c r="J133" s="668"/>
      <c r="K133" s="668"/>
      <c r="L133" s="668"/>
      <c r="M133" s="668"/>
      <c r="N133" s="668"/>
    </row>
    <row r="134" spans="1:17" hidden="1" x14ac:dyDescent="0.2">
      <c r="A134" s="55"/>
      <c r="B134" s="55"/>
      <c r="C134" s="55"/>
      <c r="D134" s="55"/>
      <c r="E134" s="668"/>
      <c r="F134" s="668"/>
      <c r="G134" s="668"/>
      <c r="H134" s="668"/>
      <c r="I134" s="668"/>
      <c r="J134" s="668"/>
      <c r="K134" s="668"/>
      <c r="L134" s="668"/>
      <c r="M134" s="668"/>
      <c r="N134" s="668"/>
    </row>
    <row r="135" spans="1:17" hidden="1" x14ac:dyDescent="0.2">
      <c r="A135" s="578"/>
      <c r="B135" s="579"/>
      <c r="C135" s="527"/>
      <c r="D135" s="527"/>
      <c r="E135" s="668"/>
      <c r="F135" s="668"/>
      <c r="G135" s="668"/>
      <c r="H135" s="668"/>
      <c r="I135" s="668"/>
      <c r="J135" s="668"/>
      <c r="K135" s="668"/>
      <c r="L135" s="668"/>
      <c r="M135" s="668"/>
      <c r="N135" s="668"/>
    </row>
    <row r="136" spans="1:17" hidden="1" x14ac:dyDescent="0.2">
      <c r="A136" s="668"/>
      <c r="B136" s="668"/>
      <c r="C136" s="668"/>
      <c r="D136" s="668"/>
      <c r="E136" s="668"/>
      <c r="F136" s="668"/>
      <c r="G136" s="668"/>
      <c r="H136" s="668"/>
      <c r="I136" s="668"/>
      <c r="J136" s="668"/>
      <c r="K136" s="668"/>
      <c r="L136" s="668"/>
      <c r="M136" s="668"/>
      <c r="N136" s="668"/>
    </row>
    <row r="137" spans="1:17" hidden="1" x14ac:dyDescent="0.2">
      <c r="A137" s="278"/>
      <c r="B137" s="278"/>
      <c r="C137" s="278"/>
      <c r="D137" s="278"/>
      <c r="E137" s="278"/>
      <c r="F137" s="278"/>
      <c r="G137" s="278"/>
      <c r="H137" s="278"/>
      <c r="I137" s="278"/>
      <c r="J137" s="278"/>
      <c r="K137" s="278"/>
      <c r="L137" s="278"/>
      <c r="M137" s="278"/>
      <c r="N137" s="278"/>
    </row>
    <row r="138" spans="1:17" hidden="1" x14ac:dyDescent="0.2">
      <c r="A138" s="278"/>
      <c r="B138" s="278"/>
      <c r="C138" s="278"/>
      <c r="D138" s="278"/>
      <c r="E138" s="278"/>
      <c r="F138" s="278"/>
      <c r="G138" s="278"/>
      <c r="H138" s="278"/>
      <c r="I138" s="278"/>
      <c r="J138" s="278"/>
      <c r="K138" s="278"/>
      <c r="L138" s="278"/>
      <c r="M138" s="278"/>
      <c r="N138" s="278"/>
    </row>
    <row r="139" spans="1:17" hidden="1" x14ac:dyDescent="0.2">
      <c r="A139" s="278"/>
      <c r="B139" s="278"/>
      <c r="C139" s="278"/>
      <c r="D139" s="278"/>
      <c r="E139" s="278"/>
      <c r="F139" s="278"/>
      <c r="G139" s="278"/>
      <c r="H139" s="278"/>
      <c r="I139" s="278"/>
      <c r="J139" s="278"/>
      <c r="K139" s="278"/>
      <c r="L139" s="278"/>
      <c r="M139" s="278"/>
      <c r="N139" s="278"/>
    </row>
    <row r="140" spans="1:17" hidden="1" x14ac:dyDescent="0.2">
      <c r="A140" s="278"/>
      <c r="B140" s="278"/>
      <c r="C140" s="278"/>
      <c r="D140" s="278"/>
      <c r="E140" s="278"/>
      <c r="F140" s="278"/>
      <c r="G140" s="278"/>
      <c r="H140" s="278"/>
      <c r="I140" s="278"/>
      <c r="J140" s="278"/>
      <c r="K140" s="278"/>
      <c r="L140" s="278"/>
      <c r="M140" s="278"/>
      <c r="N140" s="278"/>
    </row>
    <row r="141" spans="1:17" hidden="1" x14ac:dyDescent="0.2">
      <c r="A141" s="278"/>
      <c r="B141" s="278"/>
      <c r="C141" s="278"/>
      <c r="D141" s="278"/>
      <c r="E141" s="278"/>
      <c r="F141" s="278"/>
      <c r="G141" s="278"/>
      <c r="H141" s="278"/>
      <c r="I141" s="278"/>
      <c r="J141" s="278"/>
      <c r="K141" s="278"/>
      <c r="L141" s="278"/>
      <c r="M141" s="278"/>
      <c r="N141" s="278"/>
    </row>
    <row r="142" spans="1:17" hidden="1" x14ac:dyDescent="0.2">
      <c r="A142" s="278"/>
      <c r="B142" s="278"/>
      <c r="C142" s="278"/>
      <c r="D142" s="278"/>
      <c r="E142" s="278"/>
      <c r="F142" s="278"/>
      <c r="G142" s="278"/>
      <c r="H142" s="278"/>
      <c r="I142" s="278"/>
      <c r="J142" s="278"/>
      <c r="K142" s="278"/>
      <c r="L142" s="278"/>
      <c r="M142" s="278"/>
      <c r="N142" s="278"/>
      <c r="Q142" s="278"/>
    </row>
    <row r="143" spans="1:17" hidden="1" x14ac:dyDescent="0.2">
      <c r="A143" s="278"/>
      <c r="B143" s="278"/>
      <c r="C143" s="278"/>
      <c r="D143" s="278"/>
      <c r="E143" s="278"/>
      <c r="F143" s="278"/>
      <c r="G143" s="278"/>
      <c r="H143" s="278"/>
      <c r="I143" s="278"/>
      <c r="J143" s="278"/>
      <c r="K143" s="278"/>
      <c r="L143" s="278"/>
      <c r="M143" s="278"/>
      <c r="N143" s="278"/>
    </row>
    <row r="144" spans="1:17" hidden="1" x14ac:dyDescent="0.2">
      <c r="A144" s="278"/>
      <c r="B144" s="278"/>
      <c r="C144" s="278"/>
      <c r="D144" s="278"/>
      <c r="E144" s="278"/>
      <c r="F144" s="278"/>
      <c r="G144" s="278"/>
      <c r="H144" s="278"/>
      <c r="I144" s="278"/>
      <c r="J144" s="278"/>
      <c r="K144" s="278"/>
      <c r="L144" s="278"/>
      <c r="M144" s="278"/>
      <c r="N144" s="278"/>
    </row>
    <row r="145" spans="1:14" hidden="1" x14ac:dyDescent="0.2">
      <c r="A145" s="278"/>
      <c r="B145" s="278"/>
      <c r="C145" s="278"/>
      <c r="D145" s="278"/>
      <c r="E145" s="278"/>
      <c r="F145" s="278"/>
      <c r="G145" s="278"/>
      <c r="H145" s="278"/>
      <c r="I145" s="278"/>
      <c r="J145" s="278"/>
      <c r="K145" s="278"/>
      <c r="L145" s="278"/>
      <c r="M145" s="278"/>
      <c r="N145" s="278"/>
    </row>
    <row r="146" spans="1:14" hidden="1" x14ac:dyDescent="0.2">
      <c r="A146" s="278"/>
      <c r="B146" s="278"/>
      <c r="C146" s="278"/>
      <c r="D146" s="278"/>
      <c r="E146" s="278"/>
      <c r="F146" s="278"/>
      <c r="G146" s="278"/>
      <c r="H146" s="278"/>
      <c r="I146" s="278"/>
      <c r="J146" s="278"/>
      <c r="K146" s="278"/>
      <c r="L146" s="278"/>
      <c r="M146" s="278"/>
      <c r="N146" s="278"/>
    </row>
    <row r="147" spans="1:14" hidden="1" x14ac:dyDescent="0.2">
      <c r="A147" s="278"/>
      <c r="B147" s="278"/>
      <c r="C147" s="278"/>
      <c r="D147" s="278"/>
      <c r="E147" s="278"/>
      <c r="F147" s="278"/>
      <c r="G147" s="278"/>
      <c r="H147" s="278"/>
      <c r="I147" s="278"/>
      <c r="J147" s="278"/>
      <c r="K147" s="278"/>
      <c r="L147" s="278"/>
      <c r="M147" s="278"/>
      <c r="N147" s="278"/>
    </row>
    <row r="148" spans="1:14" hidden="1" x14ac:dyDescent="0.2">
      <c r="A148" s="278"/>
      <c r="B148" s="278"/>
      <c r="C148" s="278"/>
      <c r="D148" s="278"/>
      <c r="E148" s="278"/>
      <c r="F148" s="278"/>
      <c r="G148" s="278"/>
      <c r="H148" s="278"/>
      <c r="I148" s="278"/>
      <c r="J148" s="278"/>
      <c r="K148" s="278"/>
      <c r="L148" s="278"/>
      <c r="M148" s="278"/>
      <c r="N148" s="278"/>
    </row>
    <row r="149" spans="1:14" hidden="1" x14ac:dyDescent="0.2">
      <c r="A149" s="278"/>
      <c r="B149" s="278"/>
      <c r="C149" s="278"/>
      <c r="D149" s="278"/>
      <c r="E149" s="278"/>
      <c r="F149" s="278"/>
      <c r="G149" s="278"/>
      <c r="H149" s="278"/>
      <c r="I149" s="278"/>
      <c r="J149" s="278"/>
      <c r="K149" s="278"/>
      <c r="L149" s="278"/>
      <c r="M149" s="278"/>
      <c r="N149" s="278"/>
    </row>
    <row r="150" spans="1:14" hidden="1" x14ac:dyDescent="0.2">
      <c r="A150" s="278"/>
      <c r="B150" s="278"/>
      <c r="C150" s="278"/>
      <c r="D150" s="278"/>
      <c r="E150" s="278"/>
      <c r="F150" s="278"/>
      <c r="G150" s="278"/>
      <c r="H150" s="278"/>
      <c r="I150" s="278"/>
      <c r="J150" s="278"/>
      <c r="K150" s="278"/>
      <c r="L150" s="278"/>
      <c r="M150" s="278"/>
      <c r="N150" s="278"/>
    </row>
    <row r="151" spans="1:14" hidden="1" x14ac:dyDescent="0.2">
      <c r="A151" s="278"/>
      <c r="B151" s="278"/>
      <c r="C151" s="278"/>
      <c r="D151" s="278"/>
      <c r="E151" s="278"/>
      <c r="F151" s="278"/>
      <c r="G151" s="278"/>
      <c r="H151" s="278"/>
      <c r="I151" s="278"/>
      <c r="J151" s="278"/>
      <c r="K151" s="278"/>
      <c r="L151" s="278"/>
      <c r="M151" s="278"/>
      <c r="N151" s="278"/>
    </row>
    <row r="152" spans="1:14" hidden="1" x14ac:dyDescent="0.2">
      <c r="A152" s="278"/>
      <c r="B152" s="278"/>
      <c r="C152" s="278"/>
      <c r="D152" s="278"/>
      <c r="E152" s="278"/>
      <c r="F152" s="278"/>
      <c r="G152" s="278"/>
      <c r="H152" s="278"/>
      <c r="I152" s="278"/>
      <c r="J152" s="278"/>
      <c r="K152" s="278"/>
      <c r="L152" s="278"/>
      <c r="M152" s="278"/>
      <c r="N152" s="278"/>
    </row>
    <row r="153" spans="1:14" hidden="1" x14ac:dyDescent="0.2">
      <c r="A153" s="278"/>
      <c r="B153" s="278"/>
      <c r="C153" s="278"/>
      <c r="D153" s="278"/>
      <c r="E153" s="278"/>
      <c r="F153" s="278"/>
      <c r="G153" s="278"/>
      <c r="H153" s="278"/>
      <c r="I153" s="278"/>
      <c r="J153" s="278"/>
      <c r="K153" s="278"/>
      <c r="L153" s="278"/>
      <c r="M153" s="278"/>
      <c r="N153" s="278"/>
    </row>
    <row r="154" spans="1:14" hidden="1" x14ac:dyDescent="0.2">
      <c r="A154" s="278"/>
      <c r="B154" s="278"/>
      <c r="C154" s="278"/>
      <c r="D154" s="278"/>
      <c r="E154" s="278"/>
      <c r="F154" s="278"/>
      <c r="G154" s="278"/>
      <c r="H154" s="278"/>
      <c r="I154" s="278"/>
      <c r="J154" s="278"/>
      <c r="K154" s="278"/>
      <c r="L154" s="278"/>
      <c r="M154" s="278"/>
      <c r="N154" s="278"/>
    </row>
    <row r="155" spans="1:14" hidden="1" x14ac:dyDescent="0.2">
      <c r="A155" s="278"/>
      <c r="B155" s="278"/>
      <c r="C155" s="278"/>
      <c r="D155" s="278"/>
      <c r="E155" s="278"/>
      <c r="F155" s="278"/>
      <c r="G155" s="278"/>
      <c r="H155" s="278"/>
      <c r="I155" s="278"/>
      <c r="J155" s="278"/>
      <c r="K155" s="278"/>
      <c r="L155" s="278"/>
      <c r="M155" s="278"/>
      <c r="N155" s="278"/>
    </row>
    <row r="156" spans="1:14" hidden="1" x14ac:dyDescent="0.2">
      <c r="A156" s="278"/>
      <c r="B156" s="278"/>
      <c r="C156" s="278"/>
      <c r="D156" s="278"/>
      <c r="E156" s="278"/>
      <c r="F156" s="278"/>
      <c r="G156" s="278"/>
      <c r="H156" s="278"/>
      <c r="I156" s="278"/>
      <c r="J156" s="278"/>
      <c r="K156" s="278"/>
      <c r="L156" s="278"/>
      <c r="M156" s="278"/>
      <c r="N156" s="278"/>
    </row>
    <row r="157" spans="1:14" hidden="1" x14ac:dyDescent="0.2">
      <c r="A157" s="278"/>
      <c r="B157" s="278"/>
      <c r="C157" s="278"/>
      <c r="D157" s="278"/>
      <c r="E157" s="278"/>
      <c r="F157" s="278"/>
      <c r="G157" s="278"/>
      <c r="H157" s="278"/>
      <c r="I157" s="278"/>
      <c r="J157" s="278"/>
      <c r="K157" s="278"/>
      <c r="L157" s="278"/>
      <c r="M157" s="278"/>
      <c r="N157" s="278"/>
    </row>
    <row r="158" spans="1:14" hidden="1" x14ac:dyDescent="0.2">
      <c r="A158" s="278"/>
      <c r="B158" s="278"/>
      <c r="C158" s="278"/>
      <c r="D158" s="278"/>
      <c r="E158" s="278"/>
      <c r="F158" s="278"/>
      <c r="G158" s="278"/>
      <c r="H158" s="278"/>
      <c r="I158" s="278"/>
      <c r="J158" s="278"/>
      <c r="K158" s="278"/>
      <c r="L158" s="278"/>
      <c r="M158" s="278"/>
      <c r="N158" s="278"/>
    </row>
    <row r="159" spans="1:14" hidden="1" x14ac:dyDescent="0.2">
      <c r="A159" s="278"/>
      <c r="B159" s="278"/>
      <c r="C159" s="278"/>
      <c r="D159" s="278"/>
      <c r="E159" s="278"/>
      <c r="F159" s="278"/>
      <c r="G159" s="278"/>
      <c r="H159" s="278"/>
      <c r="I159" s="278"/>
      <c r="J159" s="278"/>
      <c r="K159" s="278"/>
      <c r="L159" s="278"/>
      <c r="M159" s="278"/>
      <c r="N159" s="278"/>
    </row>
    <row r="160" spans="1:14" hidden="1" x14ac:dyDescent="0.2">
      <c r="A160" s="278"/>
      <c r="B160" s="278"/>
      <c r="C160" s="278"/>
      <c r="D160" s="278"/>
      <c r="E160" s="278"/>
      <c r="F160" s="278"/>
      <c r="G160" s="278"/>
      <c r="H160" s="278"/>
      <c r="I160" s="278"/>
      <c r="J160" s="278"/>
      <c r="K160" s="278"/>
      <c r="L160" s="278"/>
      <c r="M160" s="278"/>
      <c r="N160" s="278"/>
    </row>
    <row r="161" spans="1:14" hidden="1" x14ac:dyDescent="0.2">
      <c r="A161" s="278"/>
      <c r="B161" s="278"/>
      <c r="C161" s="278"/>
      <c r="D161" s="278"/>
      <c r="E161" s="278"/>
      <c r="F161" s="278"/>
      <c r="G161" s="278"/>
      <c r="H161" s="278"/>
      <c r="I161" s="278"/>
      <c r="J161" s="278"/>
      <c r="K161" s="278"/>
      <c r="L161" s="278"/>
      <c r="M161" s="278"/>
      <c r="N161" s="278"/>
    </row>
    <row r="162" spans="1:14" hidden="1" x14ac:dyDescent="0.2">
      <c r="A162" s="278"/>
      <c r="B162" s="278"/>
      <c r="C162" s="278"/>
      <c r="D162" s="278"/>
      <c r="E162" s="278"/>
      <c r="F162" s="278"/>
      <c r="G162" s="278"/>
      <c r="H162" s="278"/>
      <c r="I162" s="278"/>
      <c r="J162" s="278"/>
      <c r="K162" s="278"/>
      <c r="L162" s="278"/>
      <c r="M162" s="278"/>
      <c r="N162" s="278"/>
    </row>
    <row r="163" spans="1:14" hidden="1" x14ac:dyDescent="0.2">
      <c r="A163" s="278"/>
      <c r="B163" s="278"/>
      <c r="C163" s="278"/>
      <c r="D163" s="278"/>
      <c r="E163" s="278"/>
      <c r="F163" s="278"/>
      <c r="G163" s="278"/>
      <c r="H163" s="278"/>
      <c r="I163" s="278"/>
      <c r="J163" s="278"/>
      <c r="K163" s="278"/>
      <c r="L163" s="278"/>
      <c r="M163" s="278"/>
      <c r="N163" s="278"/>
    </row>
    <row r="164" spans="1:14" hidden="1" x14ac:dyDescent="0.2">
      <c r="A164" s="278"/>
      <c r="B164" s="278"/>
      <c r="C164" s="278"/>
      <c r="D164" s="278"/>
      <c r="E164" s="278"/>
      <c r="F164" s="278"/>
      <c r="G164" s="278"/>
      <c r="H164" s="278"/>
      <c r="I164" s="278"/>
      <c r="J164" s="278"/>
      <c r="K164" s="278"/>
      <c r="L164" s="278"/>
      <c r="M164" s="278"/>
      <c r="N164" s="278"/>
    </row>
    <row r="165" spans="1:14" hidden="1" x14ac:dyDescent="0.2">
      <c r="A165" s="278"/>
      <c r="B165" s="278"/>
      <c r="C165" s="278"/>
      <c r="D165" s="278"/>
      <c r="E165" s="278"/>
      <c r="F165" s="278"/>
      <c r="G165" s="278"/>
      <c r="H165" s="278"/>
      <c r="I165" s="278"/>
      <c r="J165" s="278"/>
      <c r="K165" s="278"/>
      <c r="L165" s="278"/>
      <c r="M165" s="278"/>
      <c r="N165" s="278"/>
    </row>
    <row r="166" spans="1:14" hidden="1" x14ac:dyDescent="0.2">
      <c r="A166" s="278"/>
      <c r="B166" s="278"/>
      <c r="C166" s="278"/>
      <c r="D166" s="278"/>
      <c r="E166" s="278"/>
      <c r="F166" s="278"/>
      <c r="G166" s="278"/>
      <c r="H166" s="278"/>
      <c r="I166" s="278"/>
      <c r="J166" s="278"/>
      <c r="K166" s="278"/>
      <c r="L166" s="278"/>
      <c r="M166" s="278"/>
      <c r="N166" s="278"/>
    </row>
    <row r="167" spans="1:14" hidden="1" x14ac:dyDescent="0.2">
      <c r="A167" s="278"/>
      <c r="B167" s="278"/>
      <c r="C167" s="278"/>
      <c r="D167" s="278"/>
      <c r="E167" s="278"/>
      <c r="F167" s="278"/>
      <c r="G167" s="278"/>
      <c r="H167" s="278"/>
      <c r="I167" s="278"/>
      <c r="J167" s="278"/>
      <c r="K167" s="278"/>
      <c r="L167" s="278"/>
      <c r="M167" s="278"/>
      <c r="N167" s="278"/>
    </row>
    <row r="168" spans="1:14" hidden="1" x14ac:dyDescent="0.2">
      <c r="A168" s="278"/>
      <c r="B168" s="278"/>
      <c r="C168" s="278"/>
      <c r="D168" s="278"/>
      <c r="E168" s="278"/>
      <c r="F168" s="278"/>
      <c r="G168" s="278"/>
      <c r="H168" s="278"/>
      <c r="I168" s="278"/>
      <c r="J168" s="278"/>
      <c r="K168" s="278"/>
      <c r="L168" s="278"/>
      <c r="M168" s="278"/>
      <c r="N168" s="278"/>
    </row>
    <row r="169" spans="1:14" hidden="1" x14ac:dyDescent="0.2">
      <c r="A169" s="55"/>
      <c r="L169" s="668"/>
      <c r="M169" s="668"/>
      <c r="N169" s="668"/>
    </row>
    <row r="170" spans="1:14" hidden="1" x14ac:dyDescent="0.2">
      <c r="A170" s="55"/>
      <c r="L170" s="668"/>
      <c r="M170" s="668"/>
      <c r="N170" s="668"/>
    </row>
    <row r="171" spans="1:14" hidden="1" x14ac:dyDescent="0.2">
      <c r="A171" s="55"/>
      <c r="L171" s="668"/>
      <c r="M171" s="668"/>
      <c r="N171" s="668"/>
    </row>
    <row r="172" spans="1:14" hidden="1" x14ac:dyDescent="0.2">
      <c r="A172" s="55"/>
      <c r="L172" s="668"/>
      <c r="M172" s="668"/>
      <c r="N172" s="668"/>
    </row>
    <row r="173" spans="1:14" hidden="1" x14ac:dyDescent="0.2">
      <c r="A173" s="578"/>
      <c r="L173" s="668"/>
      <c r="M173" s="668"/>
      <c r="N173" s="668"/>
    </row>
    <row r="174" spans="1:14" hidden="1" x14ac:dyDescent="0.2">
      <c r="A174" s="668"/>
      <c r="L174" s="668"/>
      <c r="M174" s="668"/>
      <c r="N174" s="668"/>
    </row>
    <row r="175" spans="1:14" hidden="1" x14ac:dyDescent="0.2">
      <c r="A175" s="668"/>
      <c r="L175" s="668"/>
      <c r="M175" s="668"/>
      <c r="N175" s="668"/>
    </row>
    <row r="176" spans="1:14" hidden="1" x14ac:dyDescent="0.2">
      <c r="A176" s="668"/>
      <c r="L176" s="668"/>
      <c r="M176" s="668"/>
      <c r="N176" s="668"/>
    </row>
    <row r="177" spans="1:14" hidden="1" x14ac:dyDescent="0.2">
      <c r="A177" s="668"/>
      <c r="L177" s="668"/>
      <c r="M177" s="668"/>
      <c r="N177" s="668"/>
    </row>
    <row r="178" spans="1:14" hidden="1" x14ac:dyDescent="0.2">
      <c r="A178" s="668"/>
      <c r="L178" s="668"/>
      <c r="M178" s="668"/>
      <c r="N178" s="668"/>
    </row>
    <row r="179" spans="1:14" hidden="1" x14ac:dyDescent="0.2">
      <c r="A179" s="668"/>
      <c r="L179" s="668"/>
      <c r="M179" s="668"/>
      <c r="N179" s="668"/>
    </row>
    <row r="180" spans="1:14" hidden="1" x14ac:dyDescent="0.2">
      <c r="A180" s="668"/>
      <c r="L180" s="668"/>
      <c r="M180" s="668"/>
      <c r="N180" s="668"/>
    </row>
    <row r="181" spans="1:14" hidden="1" x14ac:dyDescent="0.2">
      <c r="A181" s="668"/>
      <c r="L181" s="668"/>
      <c r="M181" s="668"/>
      <c r="N181" s="668"/>
    </row>
    <row r="182" spans="1:14" hidden="1" x14ac:dyDescent="0.2">
      <c r="A182" s="668"/>
      <c r="L182" s="668"/>
      <c r="M182" s="668"/>
      <c r="N182" s="668"/>
    </row>
    <row r="183" spans="1:14" hidden="1" x14ac:dyDescent="0.2">
      <c r="A183" s="668"/>
      <c r="L183" s="668"/>
      <c r="M183" s="668"/>
      <c r="N183" s="668"/>
    </row>
    <row r="184" spans="1:14" hidden="1" x14ac:dyDescent="0.2">
      <c r="A184" s="668"/>
      <c r="L184" s="668"/>
      <c r="M184" s="668"/>
      <c r="N184" s="668"/>
    </row>
    <row r="185" spans="1:14" hidden="1" x14ac:dyDescent="0.2">
      <c r="A185" s="668"/>
      <c r="L185" s="668"/>
      <c r="M185" s="668"/>
      <c r="N185" s="668"/>
    </row>
    <row r="186" spans="1:14" hidden="1" x14ac:dyDescent="0.2">
      <c r="A186" s="668"/>
      <c r="L186" s="668"/>
      <c r="M186" s="668"/>
      <c r="N186" s="668"/>
    </row>
    <row r="187" spans="1:14" hidden="1" x14ac:dyDescent="0.2">
      <c r="A187" s="668"/>
      <c r="L187" s="668"/>
      <c r="M187" s="668"/>
      <c r="N187" s="668"/>
    </row>
    <row r="188" spans="1:14" hidden="1" x14ac:dyDescent="0.2">
      <c r="A188" s="668"/>
      <c r="L188" s="668"/>
      <c r="M188" s="668"/>
      <c r="N188" s="668"/>
    </row>
    <row r="189" spans="1:14" hidden="1" x14ac:dyDescent="0.2">
      <c r="A189" s="668"/>
      <c r="L189" s="668"/>
      <c r="M189" s="668"/>
      <c r="N189" s="668"/>
    </row>
    <row r="190" spans="1:14" hidden="1" x14ac:dyDescent="0.2">
      <c r="A190" s="668"/>
      <c r="L190" s="668"/>
      <c r="M190" s="668"/>
      <c r="N190" s="668"/>
    </row>
    <row r="191" spans="1:14" hidden="1" x14ac:dyDescent="0.2">
      <c r="A191" s="668"/>
      <c r="L191" s="668"/>
      <c r="M191" s="668"/>
      <c r="N191" s="668"/>
    </row>
    <row r="192" spans="1:14" hidden="1" x14ac:dyDescent="0.2">
      <c r="A192" s="668"/>
      <c r="L192" s="668"/>
      <c r="M192" s="668"/>
      <c r="N192" s="668"/>
    </row>
    <row r="193" spans="1:14" hidden="1" x14ac:dyDescent="0.2">
      <c r="A193" s="668"/>
      <c r="L193" s="668"/>
      <c r="M193" s="668"/>
      <c r="N193" s="668"/>
    </row>
    <row r="194" spans="1:14" hidden="1" x14ac:dyDescent="0.2">
      <c r="A194" s="668"/>
      <c r="L194" s="668"/>
      <c r="M194" s="668"/>
      <c r="N194" s="668"/>
    </row>
    <row r="195" spans="1:14" hidden="1" x14ac:dyDescent="0.2">
      <c r="A195" s="668"/>
      <c r="L195" s="668"/>
      <c r="M195" s="668"/>
      <c r="N195" s="668"/>
    </row>
    <row r="196" spans="1:14" hidden="1" x14ac:dyDescent="0.2">
      <c r="A196" s="668"/>
      <c r="L196" s="668"/>
      <c r="M196" s="668"/>
      <c r="N196" s="668"/>
    </row>
    <row r="197" spans="1:14" hidden="1" x14ac:dyDescent="0.2">
      <c r="A197" s="668"/>
      <c r="L197" s="668"/>
      <c r="M197" s="668"/>
      <c r="N197" s="668"/>
    </row>
    <row r="198" spans="1:14" hidden="1" x14ac:dyDescent="0.2">
      <c r="A198" s="668"/>
      <c r="L198" s="668"/>
      <c r="M198" s="668"/>
      <c r="N198" s="668"/>
    </row>
    <row r="199" spans="1:14" hidden="1" x14ac:dyDescent="0.2">
      <c r="A199" s="668"/>
      <c r="L199" s="668"/>
      <c r="M199" s="668"/>
      <c r="N199" s="668"/>
    </row>
    <row r="200" spans="1:14" hidden="1" x14ac:dyDescent="0.2">
      <c r="A200" s="668"/>
      <c r="L200" s="668"/>
      <c r="M200" s="668"/>
      <c r="N200" s="668"/>
    </row>
    <row r="201" spans="1:14" hidden="1" x14ac:dyDescent="0.2">
      <c r="A201" s="668"/>
      <c r="L201" s="668"/>
      <c r="M201" s="668"/>
      <c r="N201" s="668"/>
    </row>
    <row r="202" spans="1:14" hidden="1" x14ac:dyDescent="0.2">
      <c r="A202" s="668"/>
      <c r="L202" s="668"/>
      <c r="M202" s="668"/>
      <c r="N202" s="668"/>
    </row>
    <row r="203" spans="1:14" hidden="1" x14ac:dyDescent="0.2">
      <c r="A203" s="668"/>
      <c r="L203" s="668"/>
      <c r="M203" s="668"/>
      <c r="N203" s="668"/>
    </row>
    <row r="204" spans="1:14" hidden="1" x14ac:dyDescent="0.2">
      <c r="A204" s="668"/>
      <c r="L204" s="668"/>
      <c r="M204" s="668"/>
      <c r="N204" s="668"/>
    </row>
    <row r="205" spans="1:14" hidden="1" x14ac:dyDescent="0.2">
      <c r="A205" s="668"/>
      <c r="L205" s="668"/>
      <c r="M205" s="668"/>
      <c r="N205" s="668"/>
    </row>
    <row r="206" spans="1:14" hidden="1" x14ac:dyDescent="0.2">
      <c r="A206" s="668"/>
      <c r="L206" s="668"/>
      <c r="M206" s="668"/>
      <c r="N206" s="668"/>
    </row>
    <row r="207" spans="1:14" hidden="1" x14ac:dyDescent="0.2">
      <c r="A207" s="668"/>
      <c r="L207" s="668"/>
      <c r="M207" s="668"/>
      <c r="N207" s="668"/>
    </row>
    <row r="208" spans="1:14" hidden="1" x14ac:dyDescent="0.2">
      <c r="A208" s="668"/>
      <c r="L208" s="668"/>
      <c r="M208" s="668"/>
      <c r="N208" s="668"/>
    </row>
    <row r="209" spans="1:14" hidden="1" x14ac:dyDescent="0.2">
      <c r="A209" s="668"/>
      <c r="L209" s="668"/>
      <c r="M209" s="668"/>
      <c r="N209" s="668"/>
    </row>
    <row r="210" spans="1:14" hidden="1" x14ac:dyDescent="0.2">
      <c r="A210" s="668"/>
      <c r="L210" s="668"/>
      <c r="M210" s="668"/>
      <c r="N210" s="668"/>
    </row>
    <row r="211" spans="1:14" hidden="1" x14ac:dyDescent="0.2">
      <c r="A211" s="668"/>
      <c r="L211" s="668"/>
      <c r="M211" s="668"/>
      <c r="N211" s="668"/>
    </row>
    <row r="212" spans="1:14" hidden="1" x14ac:dyDescent="0.2">
      <c r="A212" s="668"/>
      <c r="L212" s="668"/>
      <c r="M212" s="668"/>
      <c r="N212" s="668"/>
    </row>
    <row r="213" spans="1:14" hidden="1" x14ac:dyDescent="0.2">
      <c r="A213" s="668"/>
      <c r="L213" s="668"/>
      <c r="M213" s="668"/>
      <c r="N213" s="668"/>
    </row>
    <row r="214" spans="1:14" hidden="1" x14ac:dyDescent="0.2">
      <c r="A214" s="668"/>
      <c r="L214" s="668"/>
      <c r="M214" s="668"/>
      <c r="N214" s="668"/>
    </row>
    <row r="215" spans="1:14" hidden="1" x14ac:dyDescent="0.2">
      <c r="A215" s="668"/>
      <c r="L215" s="668"/>
      <c r="M215" s="668"/>
      <c r="N215" s="668"/>
    </row>
    <row r="216" spans="1:14" hidden="1" x14ac:dyDescent="0.2">
      <c r="A216" s="668"/>
      <c r="L216" s="668"/>
      <c r="M216" s="668"/>
      <c r="N216" s="668"/>
    </row>
    <row r="217" spans="1:14" hidden="1" x14ac:dyDescent="0.2">
      <c r="A217" s="668"/>
      <c r="L217" s="668"/>
      <c r="M217" s="668"/>
      <c r="N217" s="668"/>
    </row>
    <row r="218" spans="1:14" hidden="1" x14ac:dyDescent="0.2">
      <c r="A218" s="668"/>
      <c r="L218" s="668"/>
      <c r="M218" s="668"/>
      <c r="N218" s="668"/>
    </row>
    <row r="219" spans="1:14" hidden="1" x14ac:dyDescent="0.2">
      <c r="A219" s="668"/>
      <c r="L219" s="668"/>
      <c r="M219" s="668"/>
      <c r="N219" s="668"/>
    </row>
    <row r="220" spans="1:14" hidden="1" x14ac:dyDescent="0.2">
      <c r="A220" s="668"/>
      <c r="L220" s="668"/>
      <c r="M220" s="668"/>
      <c r="N220" s="668"/>
    </row>
    <row r="221" spans="1:14" hidden="1" x14ac:dyDescent="0.2">
      <c r="A221" s="668"/>
      <c r="L221" s="668"/>
      <c r="M221" s="668"/>
      <c r="N221" s="668"/>
    </row>
    <row r="222" spans="1:14" hidden="1" x14ac:dyDescent="0.2">
      <c r="A222" s="668"/>
      <c r="L222" s="668"/>
      <c r="M222" s="668"/>
      <c r="N222" s="668"/>
    </row>
    <row r="223" spans="1:14" hidden="1" x14ac:dyDescent="0.2">
      <c r="A223" s="668"/>
      <c r="L223" s="668"/>
      <c r="M223" s="668"/>
      <c r="N223" s="668"/>
    </row>
    <row r="224" spans="1:14" hidden="1" x14ac:dyDescent="0.2">
      <c r="A224" s="668"/>
      <c r="L224" s="668"/>
      <c r="M224" s="668"/>
      <c r="N224" s="668"/>
    </row>
    <row r="225" spans="1:14" hidden="1" x14ac:dyDescent="0.2">
      <c r="A225" s="668"/>
      <c r="L225" s="668"/>
      <c r="M225" s="668"/>
      <c r="N225" s="668"/>
    </row>
    <row r="226" spans="1:14" hidden="1" x14ac:dyDescent="0.2">
      <c r="A226" s="668"/>
      <c r="L226" s="668"/>
      <c r="M226" s="668"/>
      <c r="N226" s="668"/>
    </row>
    <row r="227" spans="1:14" hidden="1" x14ac:dyDescent="0.2">
      <c r="A227" s="668"/>
      <c r="L227" s="668"/>
      <c r="M227" s="668"/>
      <c r="N227" s="668"/>
    </row>
    <row r="228" spans="1:14" hidden="1" x14ac:dyDescent="0.2">
      <c r="A228" s="668"/>
      <c r="L228" s="668"/>
      <c r="M228" s="668"/>
      <c r="N228" s="668"/>
    </row>
    <row r="229" spans="1:14" hidden="1" x14ac:dyDescent="0.2">
      <c r="A229" s="668"/>
      <c r="L229" s="668"/>
      <c r="M229" s="668"/>
      <c r="N229" s="668"/>
    </row>
    <row r="230" spans="1:14" hidden="1" x14ac:dyDescent="0.2">
      <c r="A230" s="668"/>
      <c r="L230" s="668"/>
      <c r="M230" s="668"/>
      <c r="N230" s="668"/>
    </row>
    <row r="231" spans="1:14" hidden="1" x14ac:dyDescent="0.2">
      <c r="A231" s="668"/>
      <c r="L231" s="668"/>
      <c r="M231" s="668"/>
      <c r="N231" s="668"/>
    </row>
    <row r="232" spans="1:14" hidden="1" x14ac:dyDescent="0.2">
      <c r="A232" s="668"/>
      <c r="L232" s="668"/>
      <c r="M232" s="668"/>
      <c r="N232" s="668"/>
    </row>
    <row r="233" spans="1:14" hidden="1" x14ac:dyDescent="0.2">
      <c r="A233" s="668"/>
      <c r="L233" s="668"/>
      <c r="M233" s="668"/>
      <c r="N233" s="668"/>
    </row>
    <row r="234" spans="1:14" hidden="1" x14ac:dyDescent="0.2">
      <c r="A234" s="668"/>
      <c r="L234" s="668"/>
      <c r="M234" s="668"/>
      <c r="N234" s="668"/>
    </row>
    <row r="235" spans="1:14" hidden="1" x14ac:dyDescent="0.2">
      <c r="A235" s="668"/>
      <c r="L235" s="668"/>
      <c r="M235" s="668"/>
      <c r="N235" s="668"/>
    </row>
    <row r="236" spans="1:14" hidden="1" x14ac:dyDescent="0.2">
      <c r="A236" s="668"/>
      <c r="L236" s="668"/>
      <c r="M236" s="668"/>
      <c r="N236" s="668"/>
    </row>
    <row r="237" spans="1:14" hidden="1" x14ac:dyDescent="0.2">
      <c r="A237" s="668"/>
      <c r="L237" s="668"/>
      <c r="M237" s="668"/>
      <c r="N237" s="668"/>
    </row>
    <row r="238" spans="1:14" hidden="1" x14ac:dyDescent="0.2">
      <c r="A238" s="668"/>
      <c r="L238" s="668"/>
      <c r="M238" s="668"/>
      <c r="N238" s="668"/>
    </row>
    <row r="239" spans="1:14" hidden="1" x14ac:dyDescent="0.2">
      <c r="A239" s="668"/>
      <c r="L239" s="668"/>
      <c r="M239" s="668"/>
      <c r="N239" s="668"/>
    </row>
    <row r="240" spans="1:14" hidden="1" x14ac:dyDescent="0.2">
      <c r="A240" s="668"/>
      <c r="L240" s="668"/>
      <c r="M240" s="668"/>
      <c r="N240" s="668"/>
    </row>
    <row r="241" spans="1:14" hidden="1" x14ac:dyDescent="0.2">
      <c r="A241" s="668"/>
      <c r="L241" s="668"/>
      <c r="M241" s="668"/>
      <c r="N241" s="668"/>
    </row>
    <row r="242" spans="1:14" hidden="1" x14ac:dyDescent="0.2">
      <c r="A242" s="668"/>
      <c r="L242" s="668"/>
      <c r="M242" s="668"/>
      <c r="N242" s="668"/>
    </row>
    <row r="243" spans="1:14" hidden="1" x14ac:dyDescent="0.2">
      <c r="A243" s="668"/>
      <c r="L243" s="668"/>
      <c r="M243" s="668"/>
      <c r="N243" s="668"/>
    </row>
    <row r="244" spans="1:14" hidden="1" x14ac:dyDescent="0.2">
      <c r="A244" s="668"/>
      <c r="L244" s="668"/>
      <c r="M244" s="668"/>
      <c r="N244" s="668"/>
    </row>
    <row r="245" spans="1:14" hidden="1" x14ac:dyDescent="0.2">
      <c r="A245" s="668"/>
      <c r="L245" s="668"/>
      <c r="M245" s="668"/>
      <c r="N245" s="668"/>
    </row>
    <row r="246" spans="1:14" hidden="1" x14ac:dyDescent="0.2">
      <c r="A246" s="668"/>
      <c r="L246" s="668"/>
      <c r="M246" s="668"/>
      <c r="N246" s="668"/>
    </row>
    <row r="247" spans="1:14" hidden="1" x14ac:dyDescent="0.2">
      <c r="A247" s="668"/>
      <c r="L247" s="668"/>
      <c r="M247" s="668"/>
      <c r="N247" s="668"/>
    </row>
    <row r="248" spans="1:14" hidden="1" x14ac:dyDescent="0.2">
      <c r="A248" s="668"/>
      <c r="L248" s="668"/>
      <c r="M248" s="668"/>
      <c r="N248" s="668"/>
    </row>
    <row r="249" spans="1:14" hidden="1" x14ac:dyDescent="0.2">
      <c r="A249" s="668"/>
      <c r="L249" s="668"/>
      <c r="M249" s="668"/>
      <c r="N249" s="668"/>
    </row>
    <row r="250" spans="1:14" hidden="1" x14ac:dyDescent="0.2">
      <c r="A250" s="668"/>
      <c r="L250" s="668"/>
      <c r="M250" s="668"/>
      <c r="N250" s="668"/>
    </row>
    <row r="251" spans="1:14" hidden="1" x14ac:dyDescent="0.2">
      <c r="A251" s="668"/>
      <c r="L251" s="668"/>
      <c r="M251" s="668"/>
      <c r="N251" s="668"/>
    </row>
    <row r="252" spans="1:14" hidden="1" x14ac:dyDescent="0.2">
      <c r="A252" s="668"/>
      <c r="L252" s="668"/>
      <c r="M252" s="668"/>
      <c r="N252" s="668"/>
    </row>
    <row r="253" spans="1:14" hidden="1" x14ac:dyDescent="0.2">
      <c r="A253" s="668"/>
      <c r="L253" s="668"/>
      <c r="M253" s="668"/>
      <c r="N253" s="668"/>
    </row>
    <row r="254" spans="1:14" hidden="1" x14ac:dyDescent="0.2">
      <c r="A254" s="668"/>
      <c r="L254" s="668"/>
      <c r="M254" s="668"/>
      <c r="N254" s="668"/>
    </row>
    <row r="255" spans="1:14" hidden="1" x14ac:dyDescent="0.2">
      <c r="A255" s="668"/>
      <c r="L255" s="668"/>
      <c r="M255" s="668"/>
      <c r="N255" s="668"/>
    </row>
    <row r="256" spans="1:14" hidden="1" x14ac:dyDescent="0.2">
      <c r="A256" s="668"/>
      <c r="L256" s="668"/>
      <c r="M256" s="668"/>
      <c r="N256" s="668"/>
    </row>
    <row r="257" spans="1:14" hidden="1" x14ac:dyDescent="0.2">
      <c r="A257" s="668"/>
      <c r="L257" s="668"/>
      <c r="M257" s="668"/>
      <c r="N257" s="668"/>
    </row>
    <row r="258" spans="1:14" hidden="1" x14ac:dyDescent="0.2">
      <c r="A258" s="668"/>
      <c r="L258" s="668"/>
      <c r="M258" s="668"/>
      <c r="N258" s="668"/>
    </row>
    <row r="259" spans="1:14" hidden="1" x14ac:dyDescent="0.2">
      <c r="A259" s="668"/>
      <c r="L259" s="668"/>
      <c r="M259" s="668"/>
      <c r="N259" s="668"/>
    </row>
    <row r="260" spans="1:14" hidden="1" x14ac:dyDescent="0.2">
      <c r="A260" s="668"/>
      <c r="L260" s="668"/>
      <c r="M260" s="668"/>
      <c r="N260" s="668"/>
    </row>
    <row r="261" spans="1:14" hidden="1" x14ac:dyDescent="0.2">
      <c r="A261" s="668"/>
      <c r="L261" s="668"/>
      <c r="M261" s="668"/>
      <c r="N261" s="668"/>
    </row>
    <row r="262" spans="1:14" hidden="1" x14ac:dyDescent="0.2">
      <c r="A262" s="668"/>
      <c r="L262" s="668"/>
      <c r="M262" s="668"/>
      <c r="N262" s="668"/>
    </row>
    <row r="263" spans="1:14" hidden="1" x14ac:dyDescent="0.2">
      <c r="A263" s="668"/>
      <c r="L263" s="668"/>
      <c r="M263" s="668"/>
      <c r="N263" s="668"/>
    </row>
    <row r="264" spans="1:14" hidden="1" x14ac:dyDescent="0.2">
      <c r="A264" s="668"/>
      <c r="L264" s="668"/>
      <c r="M264" s="668"/>
      <c r="N264" s="668"/>
    </row>
    <row r="265" spans="1:14" hidden="1" x14ac:dyDescent="0.2">
      <c r="A265" s="668"/>
      <c r="L265" s="668"/>
      <c r="M265" s="668"/>
      <c r="N265" s="668"/>
    </row>
    <row r="266" spans="1:14" hidden="1" x14ac:dyDescent="0.2">
      <c r="A266" s="668"/>
      <c r="L266" s="668"/>
      <c r="M266" s="668"/>
      <c r="N266" s="668"/>
    </row>
    <row r="267" spans="1:14" hidden="1" x14ac:dyDescent="0.2">
      <c r="A267" s="668"/>
      <c r="L267" s="668"/>
      <c r="M267" s="668"/>
      <c r="N267" s="668"/>
    </row>
    <row r="268" spans="1:14" hidden="1" x14ac:dyDescent="0.2">
      <c r="A268" s="668"/>
      <c r="L268" s="668"/>
      <c r="M268" s="668"/>
      <c r="N268" s="668"/>
    </row>
    <row r="269" spans="1:14" hidden="1" x14ac:dyDescent="0.2">
      <c r="A269" s="668"/>
      <c r="L269" s="668"/>
      <c r="M269" s="668"/>
      <c r="N269" s="668"/>
    </row>
    <row r="270" spans="1:14" hidden="1" x14ac:dyDescent="0.2">
      <c r="A270" s="668"/>
      <c r="L270" s="668"/>
      <c r="M270" s="668"/>
      <c r="N270" s="668"/>
    </row>
    <row r="271" spans="1:14" hidden="1" x14ac:dyDescent="0.2">
      <c r="A271" s="668"/>
      <c r="L271" s="668"/>
      <c r="M271" s="668"/>
      <c r="N271" s="668"/>
    </row>
    <row r="272" spans="1:14" hidden="1" x14ac:dyDescent="0.2">
      <c r="A272" s="668"/>
      <c r="L272" s="668"/>
      <c r="M272" s="668"/>
      <c r="N272" s="668"/>
    </row>
    <row r="273" spans="1:14" hidden="1" x14ac:dyDescent="0.2">
      <c r="A273" s="668"/>
      <c r="L273" s="668"/>
      <c r="M273" s="668"/>
      <c r="N273" s="668"/>
    </row>
    <row r="274" spans="1:14" hidden="1" x14ac:dyDescent="0.2">
      <c r="A274" s="668"/>
      <c r="L274" s="668"/>
      <c r="M274" s="668"/>
      <c r="N274" s="668"/>
    </row>
    <row r="275" spans="1:14" hidden="1" x14ac:dyDescent="0.2">
      <c r="A275" s="668"/>
      <c r="L275" s="668"/>
      <c r="M275" s="668"/>
      <c r="N275" s="668"/>
    </row>
    <row r="276" spans="1:14" hidden="1" x14ac:dyDescent="0.2">
      <c r="A276" s="668"/>
      <c r="L276" s="668"/>
      <c r="M276" s="668"/>
      <c r="N276" s="668"/>
    </row>
    <row r="277" spans="1:14" hidden="1" x14ac:dyDescent="0.2">
      <c r="A277" s="668"/>
      <c r="L277" s="668"/>
      <c r="M277" s="668"/>
      <c r="N277" s="668"/>
    </row>
    <row r="278" spans="1:14" hidden="1" x14ac:dyDescent="0.2">
      <c r="A278" s="668"/>
      <c r="L278" s="668"/>
      <c r="M278" s="668"/>
      <c r="N278" s="668"/>
    </row>
    <row r="279" spans="1:14" hidden="1" x14ac:dyDescent="0.2">
      <c r="A279" s="668"/>
      <c r="L279" s="668"/>
      <c r="M279" s="668"/>
      <c r="N279" s="668"/>
    </row>
    <row r="280" spans="1:14" hidden="1" x14ac:dyDescent="0.2">
      <c r="A280" s="668"/>
      <c r="L280" s="668"/>
      <c r="M280" s="668"/>
      <c r="N280" s="668"/>
    </row>
    <row r="281" spans="1:14" hidden="1" x14ac:dyDescent="0.2">
      <c r="A281" s="668"/>
      <c r="L281" s="668"/>
      <c r="M281" s="668"/>
      <c r="N281" s="668"/>
    </row>
    <row r="282" spans="1:14" hidden="1" x14ac:dyDescent="0.2">
      <c r="A282" s="668"/>
      <c r="L282" s="668"/>
      <c r="M282" s="668"/>
      <c r="N282" s="668"/>
    </row>
    <row r="283" spans="1:14" hidden="1" x14ac:dyDescent="0.2">
      <c r="A283" s="668"/>
      <c r="L283" s="668"/>
      <c r="M283" s="668"/>
      <c r="N283" s="668"/>
    </row>
    <row r="284" spans="1:14" hidden="1" x14ac:dyDescent="0.2">
      <c r="A284" s="668"/>
      <c r="L284" s="668"/>
      <c r="M284" s="668"/>
      <c r="N284" s="668"/>
    </row>
    <row r="285" spans="1:14" hidden="1" x14ac:dyDescent="0.2">
      <c r="A285" s="668"/>
      <c r="L285" s="668"/>
      <c r="M285" s="668"/>
      <c r="N285" s="668"/>
    </row>
    <row r="286" spans="1:14" hidden="1" x14ac:dyDescent="0.2">
      <c r="A286" s="668"/>
      <c r="L286" s="668"/>
      <c r="M286" s="668"/>
      <c r="N286" s="668"/>
    </row>
    <row r="287" spans="1:14" hidden="1" x14ac:dyDescent="0.2">
      <c r="A287" s="668"/>
      <c r="L287" s="668"/>
      <c r="M287" s="668"/>
      <c r="N287" s="668"/>
    </row>
    <row r="288" spans="1:14" hidden="1" x14ac:dyDescent="0.2">
      <c r="A288" s="668"/>
      <c r="L288" s="668"/>
      <c r="M288" s="668"/>
      <c r="N288" s="668"/>
    </row>
    <row r="289" spans="1:14" hidden="1" x14ac:dyDescent="0.2">
      <c r="A289" s="668"/>
      <c r="L289" s="668"/>
      <c r="M289" s="668"/>
      <c r="N289" s="668"/>
    </row>
    <row r="290" spans="1:14" hidden="1" x14ac:dyDescent="0.2">
      <c r="A290" s="668"/>
      <c r="L290" s="668"/>
      <c r="M290" s="668"/>
      <c r="N290" s="668"/>
    </row>
    <row r="291" spans="1:14" hidden="1" x14ac:dyDescent="0.2">
      <c r="A291" s="668"/>
      <c r="L291" s="668"/>
      <c r="M291" s="668"/>
      <c r="N291" s="668"/>
    </row>
    <row r="292" spans="1:14" hidden="1" x14ac:dyDescent="0.2">
      <c r="A292" s="668"/>
      <c r="L292" s="668"/>
      <c r="M292" s="668"/>
      <c r="N292" s="668"/>
    </row>
    <row r="293" spans="1:14" hidden="1" x14ac:dyDescent="0.2">
      <c r="A293" s="668"/>
      <c r="L293" s="668"/>
      <c r="M293" s="668"/>
      <c r="N293" s="668"/>
    </row>
    <row r="294" spans="1:14" hidden="1" x14ac:dyDescent="0.2">
      <c r="A294" s="668"/>
      <c r="L294" s="668"/>
      <c r="M294" s="668"/>
      <c r="N294" s="668"/>
    </row>
    <row r="295" spans="1:14" hidden="1" x14ac:dyDescent="0.2">
      <c r="A295" s="668"/>
      <c r="L295" s="668"/>
      <c r="M295" s="668"/>
      <c r="N295" s="668"/>
    </row>
    <row r="296" spans="1:14" hidden="1" x14ac:dyDescent="0.2">
      <c r="A296" s="668"/>
      <c r="L296" s="668"/>
      <c r="M296" s="668"/>
      <c r="N296" s="668"/>
    </row>
    <row r="297" spans="1:14" hidden="1" x14ac:dyDescent="0.2">
      <c r="A297" s="668"/>
      <c r="L297" s="668"/>
      <c r="M297" s="668"/>
      <c r="N297" s="668"/>
    </row>
    <row r="298" spans="1:14" x14ac:dyDescent="0.2">
      <c r="A298" s="32"/>
    </row>
    <row r="299" spans="1:14" x14ac:dyDescent="0.2">
      <c r="A299" s="32"/>
      <c r="B299" s="32"/>
      <c r="C299" s="278" t="s">
        <v>190</v>
      </c>
      <c r="D299" s="32"/>
      <c r="E299" s="32"/>
      <c r="F299" s="32"/>
      <c r="G299" s="32"/>
      <c r="H299" s="32"/>
      <c r="I299" s="32"/>
    </row>
    <row r="300" spans="1:14" x14ac:dyDescent="0.2">
      <c r="A300" s="182">
        <v>1</v>
      </c>
      <c r="B300" s="589" t="str">
        <f>IFERROR(INDEX(H$100:H$300,MATCH(A300&amp;". koht",H$101:H$301,0)),"")</f>
        <v>Boriss Klubov, Elmo Lageda, Tõnu Piik</v>
      </c>
      <c r="C300" s="55">
        <v>40</v>
      </c>
      <c r="F300" s="32"/>
      <c r="G300" s="32"/>
      <c r="I300" s="32"/>
    </row>
    <row r="301" spans="1:14" x14ac:dyDescent="0.2">
      <c r="A301" s="182">
        <v>2</v>
      </c>
      <c r="B301" s="590" t="str">
        <f t="shared" ref="B301:B312" si="6">IFERROR(INDEX(H$100:H$300,MATCH(A301&amp;". koht",H$101:H$301,0)),"")</f>
        <v>Ivar Viljaste, Matti Vinni, Sirje Viljaste</v>
      </c>
      <c r="C301" s="55">
        <v>34</v>
      </c>
      <c r="F301" s="32"/>
      <c r="G301" s="32"/>
      <c r="I301" s="32"/>
    </row>
    <row r="302" spans="1:14" x14ac:dyDescent="0.2">
      <c r="A302" s="182">
        <v>3</v>
      </c>
      <c r="B302" s="591" t="str">
        <f t="shared" si="6"/>
        <v>Enn Tokman, Tõnu Kapper, Vladimir Ogneštšikov</v>
      </c>
      <c r="C302" s="55">
        <v>30</v>
      </c>
      <c r="F302" s="32"/>
      <c r="G302" s="32"/>
      <c r="I302" s="32"/>
    </row>
    <row r="303" spans="1:14" x14ac:dyDescent="0.2">
      <c r="A303" s="182">
        <v>4</v>
      </c>
      <c r="B303" s="175" t="str">
        <f t="shared" si="6"/>
        <v>Jaan Sepp, Mait Metsla, Oskar Sepp</v>
      </c>
      <c r="C303" s="55">
        <v>26</v>
      </c>
      <c r="F303" s="32"/>
      <c r="G303" s="32"/>
      <c r="I303" s="32"/>
    </row>
    <row r="304" spans="1:14" x14ac:dyDescent="0.2">
      <c r="A304" s="182">
        <v>5</v>
      </c>
      <c r="B304" s="175" t="str">
        <f t="shared" si="6"/>
        <v>Aarne Välja, Janek Tarto, Romek Tarto</v>
      </c>
      <c r="C304" s="32">
        <v>24</v>
      </c>
      <c r="F304" s="32"/>
      <c r="G304" s="32"/>
      <c r="I304" s="32"/>
    </row>
    <row r="305" spans="1:9" x14ac:dyDescent="0.2">
      <c r="A305" s="182">
        <v>6</v>
      </c>
      <c r="B305" s="175" t="str">
        <f t="shared" si="6"/>
        <v>Johannes Neiland, Oksana Sažina, Oleg Rõndenkov, Ülo Piik</v>
      </c>
      <c r="C305" s="32">
        <v>22</v>
      </c>
      <c r="F305" s="32"/>
      <c r="G305" s="32"/>
      <c r="I305" s="32"/>
    </row>
    <row r="306" spans="1:9" x14ac:dyDescent="0.2">
      <c r="A306" s="182">
        <v>7</v>
      </c>
      <c r="B306" s="175" t="str">
        <f t="shared" si="6"/>
        <v>Kenneth Muusikus, Urmas Randlaine, Urmas Jõeäär</v>
      </c>
      <c r="C306" s="32">
        <v>20</v>
      </c>
      <c r="F306" s="32"/>
      <c r="G306" s="32"/>
      <c r="I306" s="32"/>
    </row>
    <row r="307" spans="1:9" x14ac:dyDescent="0.2">
      <c r="A307" s="182">
        <v>8</v>
      </c>
      <c r="B307" s="175" t="str">
        <f t="shared" si="6"/>
        <v>Argo Sepp, Karla Purgats, Lemmit Toomra</v>
      </c>
      <c r="C307" s="32">
        <v>18</v>
      </c>
      <c r="F307" s="32"/>
      <c r="G307" s="32"/>
      <c r="I307" s="32"/>
    </row>
    <row r="308" spans="1:9" hidden="1" x14ac:dyDescent="0.2">
      <c r="A308" s="182">
        <v>13</v>
      </c>
      <c r="B308" s="175" t="str">
        <f t="shared" si="6"/>
        <v/>
      </c>
      <c r="C308" s="32">
        <v>8</v>
      </c>
    </row>
    <row r="309" spans="1:9" hidden="1" x14ac:dyDescent="0.2">
      <c r="A309" s="182">
        <v>14</v>
      </c>
      <c r="B309" s="175" t="str">
        <f t="shared" si="6"/>
        <v/>
      </c>
      <c r="C309" s="32">
        <v>6</v>
      </c>
    </row>
    <row r="310" spans="1:9" hidden="1" x14ac:dyDescent="0.2">
      <c r="A310" s="182">
        <v>15</v>
      </c>
      <c r="B310" s="175" t="str">
        <f t="shared" si="6"/>
        <v/>
      </c>
      <c r="C310" s="32">
        <v>4</v>
      </c>
    </row>
    <row r="311" spans="1:9" hidden="1" x14ac:dyDescent="0.2">
      <c r="A311" s="182">
        <v>16</v>
      </c>
      <c r="B311" s="175" t="str">
        <f t="shared" si="6"/>
        <v/>
      </c>
      <c r="C311" s="32">
        <v>2</v>
      </c>
    </row>
    <row r="312" spans="1:9" hidden="1" x14ac:dyDescent="0.2">
      <c r="A312" s="182">
        <v>17</v>
      </c>
      <c r="B312" s="175" t="str">
        <f t="shared" si="6"/>
        <v/>
      </c>
      <c r="C312" s="32">
        <v>1</v>
      </c>
    </row>
  </sheetData>
  <conditionalFormatting sqref="K17:K18">
    <cfRule type="expression" dxfId="2306" priority="253">
      <formula>AND(J17=3,IF(COUNTIF(J$14:J$18,"=3")&gt;=2,TRUE))</formula>
    </cfRule>
    <cfRule type="expression" dxfId="2305" priority="259">
      <formula>AND(J17=1,IF(COUNTIF(J$14:J$18,"=1")&gt;=2,TRUE))</formula>
    </cfRule>
    <cfRule type="expression" dxfId="2304" priority="260">
      <formula>AND(J17=2,IF(COUNTIF(J$14:J$18,"=2")&gt;=2,TRUE))</formula>
    </cfRule>
  </conditionalFormatting>
  <conditionalFormatting sqref="K21:K25">
    <cfRule type="expression" dxfId="2303" priority="252">
      <formula>AND(J21=3,IF(COUNTIF(J$21:J$25,"=3")&gt;=2,TRUE))</formula>
    </cfRule>
    <cfRule type="expression" dxfId="2302" priority="257">
      <formula>AND(J21=1,IF(COUNTIF(J$21:J$25,"=1")&gt;=2,TRUE))</formula>
    </cfRule>
    <cfRule type="expression" dxfId="2301" priority="258">
      <formula>AND(J21=2,IF(COUNTIF(J$21:J$25,"=2")&gt;=2,TRUE))</formula>
    </cfRule>
  </conditionalFormatting>
  <conditionalFormatting sqref="H17:H18">
    <cfRule type="expression" dxfId="2300" priority="244">
      <formula>AND(J17=1,IF(COUNTIF(J$14:J$18,"=1")&gt;=2,TRUE))</formula>
    </cfRule>
    <cfRule type="expression" dxfId="2299" priority="248">
      <formula>AND(J17=3,IF(COUNTIF(J$14:J$18,"=3")&gt;=2,TRUE))</formula>
    </cfRule>
    <cfRule type="expression" dxfId="2298" priority="249">
      <formula>AND(J17=2,IF(COUNTIF(J$14:J$18,"=2")&gt;=2,TRUE))</formula>
    </cfRule>
  </conditionalFormatting>
  <conditionalFormatting sqref="H21:H25">
    <cfRule type="expression" dxfId="2297" priority="245">
      <formula>AND(J21=1,IF(COUNTIF(J$21:J$25,"=1")&gt;=2,TRUE))</formula>
    </cfRule>
    <cfRule type="expression" dxfId="2296" priority="246">
      <formula>AND(J21=3,IF(COUNTIF(J$21:J$25,"=3")&gt;=2,TRUE))</formula>
    </cfRule>
    <cfRule type="expression" dxfId="2295" priority="247">
      <formula>AND(J21=2,IF(COUNTIF(J$21:J$25,"=2")&gt;=2,TRUE))</formula>
    </cfRule>
  </conditionalFormatting>
  <conditionalFormatting sqref="C69 C73:C74">
    <cfRule type="aboveAverage" dxfId="2294" priority="242"/>
  </conditionalFormatting>
  <conditionalFormatting sqref="D69 D73:D74">
    <cfRule type="aboveAverage" dxfId="2293" priority="241"/>
  </conditionalFormatting>
  <conditionalFormatting sqref="K28:K32">
    <cfRule type="expression" dxfId="2292" priority="238">
      <formula>AND(J28=3,IF(COUNTIF(J$28:J$32,"=3")&gt;=2,TRUE))</formula>
    </cfRule>
    <cfRule type="expression" dxfId="2291" priority="239">
      <formula>AND(J28=1,IF(COUNTIF(J$28:J$32,"=1")&gt;=2,TRUE))</formula>
    </cfRule>
    <cfRule type="expression" dxfId="2290" priority="240">
      <formula>AND(J28=2,IF(COUNTIF(J$28:J$32,"=2")&gt;=2,TRUE))</formula>
    </cfRule>
  </conditionalFormatting>
  <conditionalFormatting sqref="H28:H32">
    <cfRule type="expression" dxfId="2289" priority="235">
      <formula>AND(J28=1,IF(COUNTIF(J$28:J$32,"=1")&gt;=2,TRUE))</formula>
    </cfRule>
    <cfRule type="expression" dxfId="2288" priority="236">
      <formula>AND(J28=3,IF(COUNTIF(J$28:J$32,"=3")&gt;=2,TRUE))</formula>
    </cfRule>
    <cfRule type="expression" dxfId="2287" priority="237">
      <formula>AND(J28=2,IF(COUNTIF(J$28:J$32,"=2")&gt;=2,TRUE))</formula>
    </cfRule>
  </conditionalFormatting>
  <conditionalFormatting sqref="C17">
    <cfRule type="aboveAverage" dxfId="2286" priority="234"/>
  </conditionalFormatting>
  <conditionalFormatting sqref="C18">
    <cfRule type="aboveAverage" dxfId="2285" priority="233"/>
  </conditionalFormatting>
  <conditionalFormatting sqref="D17">
    <cfRule type="aboveAverage" dxfId="2284" priority="232"/>
  </conditionalFormatting>
  <conditionalFormatting sqref="D18">
    <cfRule type="aboveAverage" dxfId="2283" priority="231"/>
  </conditionalFormatting>
  <conditionalFormatting sqref="E17">
    <cfRule type="aboveAverage" dxfId="2282" priority="230"/>
  </conditionalFormatting>
  <conditionalFormatting sqref="E18">
    <cfRule type="aboveAverage" dxfId="2281" priority="229"/>
  </conditionalFormatting>
  <conditionalFormatting sqref="F18 G17">
    <cfRule type="aboveAverage" dxfId="2280" priority="228"/>
  </conditionalFormatting>
  <conditionalFormatting sqref="D21 C22">
    <cfRule type="aboveAverage" dxfId="2279" priority="227"/>
  </conditionalFormatting>
  <conditionalFormatting sqref="E21 C23">
    <cfRule type="aboveAverage" dxfId="2278" priority="226"/>
  </conditionalFormatting>
  <conditionalFormatting sqref="F21 C24">
    <cfRule type="aboveAverage" dxfId="2277" priority="225"/>
  </conditionalFormatting>
  <conditionalFormatting sqref="E22 D23">
    <cfRule type="aboveAverage" dxfId="2276" priority="224"/>
  </conditionalFormatting>
  <conditionalFormatting sqref="G21 C25">
    <cfRule type="aboveAverage" dxfId="2275" priority="223"/>
  </conditionalFormatting>
  <conditionalFormatting sqref="F22 D24">
    <cfRule type="aboveAverage" dxfId="2274" priority="222"/>
  </conditionalFormatting>
  <conditionalFormatting sqref="G22 D25">
    <cfRule type="aboveAverage" dxfId="2273" priority="221"/>
  </conditionalFormatting>
  <conditionalFormatting sqref="F23 E24">
    <cfRule type="aboveAverage" dxfId="2272" priority="220"/>
  </conditionalFormatting>
  <conditionalFormatting sqref="G23 E25">
    <cfRule type="aboveAverage" dxfId="2271" priority="219"/>
  </conditionalFormatting>
  <conditionalFormatting sqref="F25 G24">
    <cfRule type="aboveAverage" dxfId="2270" priority="218"/>
  </conditionalFormatting>
  <conditionalFormatting sqref="D28 C29">
    <cfRule type="aboveAverage" dxfId="2269" priority="217"/>
  </conditionalFormatting>
  <conditionalFormatting sqref="E28 C30">
    <cfRule type="aboveAverage" dxfId="2268" priority="216"/>
  </conditionalFormatting>
  <conditionalFormatting sqref="F28 C31">
    <cfRule type="aboveAverage" dxfId="2267" priority="215"/>
  </conditionalFormatting>
  <conditionalFormatting sqref="E29 D30">
    <cfRule type="aboveAverage" dxfId="2266" priority="214"/>
  </conditionalFormatting>
  <conditionalFormatting sqref="G28 C32">
    <cfRule type="aboveAverage" dxfId="2265" priority="213"/>
  </conditionalFormatting>
  <conditionalFormatting sqref="F29 D31">
    <cfRule type="aboveAverage" dxfId="2264" priority="212"/>
  </conditionalFormatting>
  <conditionalFormatting sqref="G29 D32">
    <cfRule type="aboveAverage" dxfId="2263" priority="211"/>
  </conditionalFormatting>
  <conditionalFormatting sqref="F30 E31">
    <cfRule type="aboveAverage" dxfId="2262" priority="210"/>
  </conditionalFormatting>
  <conditionalFormatting sqref="G30 E32">
    <cfRule type="aboveAverage" dxfId="2261" priority="209"/>
  </conditionalFormatting>
  <conditionalFormatting sqref="F32 G31">
    <cfRule type="aboveAverage" dxfId="2260" priority="208"/>
  </conditionalFormatting>
  <conditionalFormatting sqref="D35 C36">
    <cfRule type="aboveAverage" dxfId="2259" priority="206"/>
  </conditionalFormatting>
  <conditionalFormatting sqref="E35 C37">
    <cfRule type="aboveAverage" dxfId="2258" priority="205"/>
  </conditionalFormatting>
  <conditionalFormatting sqref="F35 C38">
    <cfRule type="aboveAverage" dxfId="2257" priority="204"/>
  </conditionalFormatting>
  <conditionalFormatting sqref="E36 D37">
    <cfRule type="aboveAverage" dxfId="2256" priority="203"/>
  </conditionalFormatting>
  <conditionalFormatting sqref="G35 C39">
    <cfRule type="aboveAverage" dxfId="2255" priority="202"/>
  </conditionalFormatting>
  <conditionalFormatting sqref="F36 D38">
    <cfRule type="aboveAverage" dxfId="2254" priority="201"/>
  </conditionalFormatting>
  <conditionalFormatting sqref="G36 D39">
    <cfRule type="aboveAverage" dxfId="2253" priority="200"/>
  </conditionalFormatting>
  <conditionalFormatting sqref="F37 E38">
    <cfRule type="aboveAverage" dxfId="2252" priority="199"/>
  </conditionalFormatting>
  <conditionalFormatting sqref="G37 E39">
    <cfRule type="aboveAverage" dxfId="2251" priority="198"/>
  </conditionalFormatting>
  <conditionalFormatting sqref="F39 G38">
    <cfRule type="aboveAverage" dxfId="2250" priority="197"/>
  </conditionalFormatting>
  <conditionalFormatting sqref="K42:K46">
    <cfRule type="expression" dxfId="2249" priority="189">
      <formula>AND(J42=3,IF(COUNTIF(J$14:J$18,"=3")&gt;=2,TRUE))</formula>
    </cfRule>
    <cfRule type="expression" dxfId="2248" priority="195">
      <formula>AND(J42=1,IF(COUNTIF(J$14:J$18,"=1")&gt;=2,TRUE))</formula>
    </cfRule>
    <cfRule type="expression" dxfId="2247" priority="196">
      <formula>AND(J42=2,IF(COUNTIF(J$14:J$18,"=2")&gt;=2,TRUE))</formula>
    </cfRule>
  </conditionalFormatting>
  <conditionalFormatting sqref="K49:K53">
    <cfRule type="expression" dxfId="2246" priority="188">
      <formula>AND(J49=3,IF(COUNTIF(J$21:J$25,"=3")&gt;=2,TRUE))</formula>
    </cfRule>
    <cfRule type="expression" dxfId="2245" priority="193">
      <formula>AND(J49=1,IF(COUNTIF(J$21:J$25,"=1")&gt;=2,TRUE))</formula>
    </cfRule>
    <cfRule type="expression" dxfId="2244" priority="194">
      <formula>AND(J49=2,IF(COUNTIF(J$21:J$25,"=2")&gt;=2,TRUE))</formula>
    </cfRule>
  </conditionalFormatting>
  <conditionalFormatting sqref="K35:K39">
    <cfRule type="expression" dxfId="2243" priority="190">
      <formula>AND(J35=3,IF(COUNTIF(J$7:J$11,"=3")&gt;=2,TRUE))</formula>
    </cfRule>
    <cfRule type="expression" dxfId="2242" priority="191">
      <formula>AND(J35=1,IF(COUNTIF(J$7:J$11,"=1")&gt;=2,TRUE))</formula>
    </cfRule>
    <cfRule type="expression" dxfId="2241" priority="192">
      <formula>AND(J35=2,IF(COUNTIF(J$7:J$11,"=2")&gt;=2,TRUE))</formula>
    </cfRule>
  </conditionalFormatting>
  <conditionalFormatting sqref="H35:H39">
    <cfRule type="expression" dxfId="2240" priority="179">
      <formula>AND(J35=1,IF(COUNTIF(J$7:J$11,"=1")&gt;=2,TRUE))</formula>
    </cfRule>
    <cfRule type="expression" dxfId="2239" priority="186">
      <formula>AND(J35=3,IF(COUNTIF(J$7:J$11,"=3")&gt;=2,TRUE))</formula>
    </cfRule>
    <cfRule type="expression" dxfId="2238" priority="187">
      <formula>AND(J35=2,IF(COUNTIF(J$7:J$11,"=2")&gt;=2,TRUE))</formula>
    </cfRule>
  </conditionalFormatting>
  <conditionalFormatting sqref="H42:H46">
    <cfRule type="expression" dxfId="2237" priority="180">
      <formula>AND(J42=1,IF(COUNTIF(J$14:J$18,"=1")&gt;=2,TRUE))</formula>
    </cfRule>
    <cfRule type="expression" dxfId="2236" priority="184">
      <formula>AND(J42=3,IF(COUNTIF(J$14:J$18,"=3")&gt;=2,TRUE))</formula>
    </cfRule>
    <cfRule type="expression" dxfId="2235" priority="185">
      <formula>AND(J42=2,IF(COUNTIF(J$14:J$18,"=2")&gt;=2,TRUE))</formula>
    </cfRule>
  </conditionalFormatting>
  <conditionalFormatting sqref="H49:H53">
    <cfRule type="expression" dxfId="2234" priority="181">
      <formula>AND(J49=1,IF(COUNTIF(J$21:J$25,"=1")&gt;=2,TRUE))</formula>
    </cfRule>
    <cfRule type="expression" dxfId="2233" priority="182">
      <formula>AND(J49=3,IF(COUNTIF(J$21:J$25,"=3")&gt;=2,TRUE))</formula>
    </cfRule>
    <cfRule type="expression" dxfId="2232" priority="183">
      <formula>AND(J49=2,IF(COUNTIF(J$21:J$25,"=2")&gt;=2,TRUE))</formula>
    </cfRule>
  </conditionalFormatting>
  <conditionalFormatting sqref="K56:K60">
    <cfRule type="expression" dxfId="2231" priority="176">
      <formula>AND(J56=3,IF(COUNTIF(J$28:J$32,"=3")&gt;=2,TRUE))</formula>
    </cfRule>
    <cfRule type="expression" dxfId="2230" priority="177">
      <formula>AND(J56=1,IF(COUNTIF(J$28:J$32,"=1")&gt;=2,TRUE))</formula>
    </cfRule>
    <cfRule type="expression" dxfId="2229" priority="178">
      <formula>AND(J56=2,IF(COUNTIF(J$28:J$32,"=2")&gt;=2,TRUE))</formula>
    </cfRule>
  </conditionalFormatting>
  <conditionalFormatting sqref="H56:H60">
    <cfRule type="expression" dxfId="2228" priority="173">
      <formula>AND(J56=1,IF(COUNTIF(J$28:J$32,"=1")&gt;=2,TRUE))</formula>
    </cfRule>
    <cfRule type="expression" dxfId="2227" priority="174">
      <formula>AND(J56=3,IF(COUNTIF(J$28:J$32,"=3")&gt;=2,TRUE))</formula>
    </cfRule>
    <cfRule type="expression" dxfId="2226" priority="175">
      <formula>AND(J56=2,IF(COUNTIF(J$28:J$32,"=2")&gt;=2,TRUE))</formula>
    </cfRule>
  </conditionalFormatting>
  <conditionalFormatting sqref="B37">
    <cfRule type="duplicateValues" dxfId="2225" priority="207"/>
  </conditionalFormatting>
  <conditionalFormatting sqref="D42 C43">
    <cfRule type="aboveAverage" dxfId="2224" priority="171"/>
  </conditionalFormatting>
  <conditionalFormatting sqref="E42 C44">
    <cfRule type="aboveAverage" dxfId="2223" priority="170"/>
  </conditionalFormatting>
  <conditionalFormatting sqref="F42 C45">
    <cfRule type="aboveAverage" dxfId="2222" priority="169"/>
  </conditionalFormatting>
  <conditionalFormatting sqref="E43 D44">
    <cfRule type="aboveAverage" dxfId="2221" priority="168"/>
  </conditionalFormatting>
  <conditionalFormatting sqref="G42 C46">
    <cfRule type="aboveAverage" dxfId="2220" priority="167"/>
  </conditionalFormatting>
  <conditionalFormatting sqref="F43 D45">
    <cfRule type="aboveAverage" dxfId="2219" priority="166"/>
  </conditionalFormatting>
  <conditionalFormatting sqref="G43 D46">
    <cfRule type="aboveAverage" dxfId="2218" priority="165"/>
  </conditionalFormatting>
  <conditionalFormatting sqref="F44 E45">
    <cfRule type="aboveAverage" dxfId="2217" priority="164"/>
  </conditionalFormatting>
  <conditionalFormatting sqref="G44 E46">
    <cfRule type="aboveAverage" dxfId="2216" priority="163"/>
  </conditionalFormatting>
  <conditionalFormatting sqref="F46 G45">
    <cfRule type="aboveAverage" dxfId="2215" priority="162"/>
  </conditionalFormatting>
  <conditionalFormatting sqref="B44">
    <cfRule type="duplicateValues" dxfId="2214" priority="172"/>
  </conditionalFormatting>
  <conditionalFormatting sqref="D49 C50">
    <cfRule type="aboveAverage" dxfId="2213" priority="160"/>
  </conditionalFormatting>
  <conditionalFormatting sqref="E49 C51">
    <cfRule type="aboveAverage" dxfId="2212" priority="159"/>
  </conditionalFormatting>
  <conditionalFormatting sqref="F49 C52">
    <cfRule type="aboveAverage" dxfId="2211" priority="158"/>
  </conditionalFormatting>
  <conditionalFormatting sqref="E50 D51">
    <cfRule type="aboveAverage" dxfId="2210" priority="157"/>
  </conditionalFormatting>
  <conditionalFormatting sqref="G49 C53">
    <cfRule type="aboveAverage" dxfId="2209" priority="156"/>
  </conditionalFormatting>
  <conditionalFormatting sqref="F50 D52">
    <cfRule type="aboveAverage" dxfId="2208" priority="155"/>
  </conditionalFormatting>
  <conditionalFormatting sqref="G50 D53">
    <cfRule type="aboveAverage" dxfId="2207" priority="154"/>
  </conditionalFormatting>
  <conditionalFormatting sqref="F51 E52">
    <cfRule type="aboveAverage" dxfId="2206" priority="153"/>
  </conditionalFormatting>
  <conditionalFormatting sqref="G51 E53">
    <cfRule type="aboveAverage" dxfId="2205" priority="152"/>
  </conditionalFormatting>
  <conditionalFormatting sqref="F53 G52">
    <cfRule type="aboveAverage" dxfId="2204" priority="151"/>
  </conditionalFormatting>
  <conditionalFormatting sqref="B51">
    <cfRule type="duplicateValues" dxfId="2203" priority="161"/>
  </conditionalFormatting>
  <conditionalFormatting sqref="D56 C57">
    <cfRule type="aboveAverage" dxfId="2202" priority="149"/>
  </conditionalFormatting>
  <conditionalFormatting sqref="E56 C58">
    <cfRule type="aboveAverage" dxfId="2201" priority="148"/>
  </conditionalFormatting>
  <conditionalFormatting sqref="F56 C59">
    <cfRule type="aboveAverage" dxfId="2200" priority="147"/>
  </conditionalFormatting>
  <conditionalFormatting sqref="E57 D58">
    <cfRule type="aboveAverage" dxfId="2199" priority="146"/>
  </conditionalFormatting>
  <conditionalFormatting sqref="G56 C60">
    <cfRule type="aboveAverage" dxfId="2198" priority="145"/>
  </conditionalFormatting>
  <conditionalFormatting sqref="F57 D59">
    <cfRule type="aboveAverage" dxfId="2197" priority="144"/>
  </conditionalFormatting>
  <conditionalFormatting sqref="G57 D60">
    <cfRule type="aboveAverage" dxfId="2196" priority="143"/>
  </conditionalFormatting>
  <conditionalFormatting sqref="F58 E59">
    <cfRule type="aboveAverage" dxfId="2195" priority="142"/>
  </conditionalFormatting>
  <conditionalFormatting sqref="G58 E60">
    <cfRule type="aboveAverage" dxfId="2194" priority="141"/>
  </conditionalFormatting>
  <conditionalFormatting sqref="F60 G59">
    <cfRule type="aboveAverage" dxfId="2193" priority="140"/>
  </conditionalFormatting>
  <conditionalFormatting sqref="B58">
    <cfRule type="duplicateValues" dxfId="2192" priority="150"/>
  </conditionalFormatting>
  <conditionalFormatting sqref="I17:I18">
    <cfRule type="expression" dxfId="2191" priority="136">
      <formula>FIND(2,I17,1)</formula>
    </cfRule>
    <cfRule type="expression" dxfId="2190" priority="137">
      <formula>FIND(1,I17,1)</formula>
    </cfRule>
  </conditionalFormatting>
  <conditionalFormatting sqref="I21:I25">
    <cfRule type="expression" dxfId="2189" priority="134">
      <formula>FIND(2,I21,1)</formula>
    </cfRule>
    <cfRule type="expression" dxfId="2188" priority="135">
      <formula>FIND(1,I21,1)</formula>
    </cfRule>
  </conditionalFormatting>
  <conditionalFormatting sqref="I28:I32">
    <cfRule type="expression" dxfId="2187" priority="132">
      <formula>FIND(2,I28,1)</formula>
    </cfRule>
    <cfRule type="expression" dxfId="2186" priority="133">
      <formula>FIND(1,I28,1)</formula>
    </cfRule>
  </conditionalFormatting>
  <conditionalFormatting sqref="I38:I39">
    <cfRule type="expression" dxfId="2185" priority="130">
      <formula>FIND(2,I38,1)</formula>
    </cfRule>
    <cfRule type="expression" dxfId="2184" priority="131">
      <formula>FIND(1,I38,1)</formula>
    </cfRule>
  </conditionalFormatting>
  <conditionalFormatting sqref="I35:I37">
    <cfRule type="expression" dxfId="2183" priority="128">
      <formula>FIND(2,I35,1)</formula>
    </cfRule>
    <cfRule type="expression" dxfId="2182" priority="129">
      <formula>FIND(1,I35,1)</formula>
    </cfRule>
  </conditionalFormatting>
  <conditionalFormatting sqref="I42:I46">
    <cfRule type="expression" dxfId="2181" priority="126">
      <formula>FIND(2,I42,1)</formula>
    </cfRule>
    <cfRule type="expression" dxfId="2180" priority="127">
      <formula>FIND(1,I42,1)</formula>
    </cfRule>
  </conditionalFormatting>
  <conditionalFormatting sqref="I49:I53">
    <cfRule type="expression" dxfId="2179" priority="124">
      <formula>FIND(2,I49,1)</formula>
    </cfRule>
    <cfRule type="expression" dxfId="2178" priority="125">
      <formula>FIND(1,I49,1)</formula>
    </cfRule>
  </conditionalFormatting>
  <conditionalFormatting sqref="I56:I60">
    <cfRule type="expression" dxfId="2177" priority="122">
      <formula>FIND(2,I56,1)</formula>
    </cfRule>
    <cfRule type="expression" dxfId="2176" priority="123">
      <formula>FIND(1,I56,1)</formula>
    </cfRule>
  </conditionalFormatting>
  <conditionalFormatting sqref="L17:L18">
    <cfRule type="expression" dxfId="2175" priority="116">
      <formula>OR(J17=0,J17=4)</formula>
    </cfRule>
    <cfRule type="expression" dxfId="2174" priority="120">
      <formula>AND(J17=1,IF(COUNTIF(J$14:J$18,"=1")=1,TRUE))</formula>
    </cfRule>
    <cfRule type="expression" dxfId="2173" priority="121">
      <formula>AND(J17=3,IF(COUNTIF(J$14:J$18,"=3")=1,TRUE))</formula>
    </cfRule>
  </conditionalFormatting>
  <conditionalFormatting sqref="L21:L25">
    <cfRule type="expression" dxfId="2172" priority="117">
      <formula>OR(J21=0,J21=4)</formula>
    </cfRule>
    <cfRule type="expression" dxfId="2171" priority="118">
      <formula>AND(J21=1,IF(COUNTIF(J$21:J$25,"=1")=1,TRUE))</formula>
    </cfRule>
    <cfRule type="expression" dxfId="2170" priority="119">
      <formula>AND(J21=3,IF(COUNTIF(J$21:J$25,"=3")=1,TRUE))</formula>
    </cfRule>
  </conditionalFormatting>
  <conditionalFormatting sqref="L28:L32">
    <cfRule type="expression" dxfId="2169" priority="110">
      <formula>OR(J28=0,J28=4)</formula>
    </cfRule>
    <cfRule type="expression" dxfId="2168" priority="111">
      <formula>AND(J28=1,IF(COUNTIF(J$28:J$32,"=1")=1,TRUE))</formula>
    </cfRule>
    <cfRule type="expression" dxfId="2167" priority="112">
      <formula>AND(J28=3,IF(COUNTIF(J$28:J$32,"=3")=1,TRUE))</formula>
    </cfRule>
  </conditionalFormatting>
  <conditionalFormatting sqref="L43:L46">
    <cfRule type="expression" dxfId="2166" priority="104">
      <formula>OR(J43=0,J43=4)</formula>
    </cfRule>
    <cfRule type="expression" dxfId="2165" priority="108">
      <formula>AND(J43=1,IF(COUNTIF(J$14:J$18,"=1")=1,TRUE))</formula>
    </cfRule>
    <cfRule type="expression" dxfId="2164" priority="109">
      <formula>AND(J43=3,IF(COUNTIF(J$14:J$18,"=3")=1,TRUE))</formula>
    </cfRule>
  </conditionalFormatting>
  <conditionalFormatting sqref="L49:L53">
    <cfRule type="expression" dxfId="2163" priority="105">
      <formula>OR(J49=0,J49=4)</formula>
    </cfRule>
    <cfRule type="expression" dxfId="2162" priority="106">
      <formula>AND(J49=1,IF(COUNTIF(J$21:J$25,"=1")=1,TRUE))</formula>
    </cfRule>
    <cfRule type="expression" dxfId="2161" priority="107">
      <formula>AND(J49=3,IF(COUNTIF(J$21:J$25,"=3")=1,TRUE))</formula>
    </cfRule>
  </conditionalFormatting>
  <conditionalFormatting sqref="L35:L39">
    <cfRule type="expression" dxfId="2160" priority="101">
      <formula>OR(J35=0,J35=4)</formula>
    </cfRule>
    <cfRule type="expression" dxfId="2159" priority="102">
      <formula>AND(J35=1,IF(COUNTIF(J$7:J$11,"=1")=1,TRUE))</formula>
    </cfRule>
    <cfRule type="expression" dxfId="2158" priority="103">
      <formula>AND(J35=3,IF(COUNTIF(J$7:J$11,"=3")=1,TRUE))</formula>
    </cfRule>
  </conditionalFormatting>
  <conditionalFormatting sqref="L56:L60">
    <cfRule type="expression" dxfId="2157" priority="98">
      <formula>OR(J56=0,J56=4)</formula>
    </cfRule>
    <cfRule type="expression" dxfId="2156" priority="99">
      <formula>AND(J56=1,IF(COUNTIF(J$28:J$32,"=1")=1,TRUE))</formula>
    </cfRule>
    <cfRule type="expression" dxfId="2155" priority="100">
      <formula>AND(J56=3,IF(COUNTIF(J$28:J$32,"=3")=1,TRUE))</formula>
    </cfRule>
  </conditionalFormatting>
  <conditionalFormatting sqref="L42">
    <cfRule type="expression" dxfId="2154" priority="95">
      <formula>OR(J42=0,J42=4)</formula>
    </cfRule>
    <cfRule type="expression" dxfId="2153" priority="96">
      <formula>AND(J42=1,IF(COUNTIF(J$7:J$11,"=1")=1,TRUE))</formula>
    </cfRule>
    <cfRule type="expression" dxfId="2152" priority="97">
      <formula>AND(J42=3,IF(COUNTIF(J$7:J$11,"=3")=1,TRUE))</formula>
    </cfRule>
  </conditionalFormatting>
  <conditionalFormatting sqref="B30">
    <cfRule type="duplicateValues" dxfId="2151" priority="94"/>
  </conditionalFormatting>
  <conditionalFormatting sqref="B14:B16">
    <cfRule type="duplicateValues" dxfId="2150" priority="76"/>
  </conditionalFormatting>
  <conditionalFormatting sqref="G7:G10">
    <cfRule type="containsText" dxfId="2149" priority="74" operator="containsText" text="2">
      <formula>NOT(ISERROR(SEARCH("2",G7)))</formula>
    </cfRule>
    <cfRule type="containsText" dxfId="2148" priority="75" operator="containsText" text="1">
      <formula>NOT(ISERROR(SEARCH("1",G7)))</formula>
    </cfRule>
  </conditionalFormatting>
  <conditionalFormatting sqref="G10">
    <cfRule type="expression" dxfId="2147" priority="73">
      <formula>B10="-"</formula>
    </cfRule>
  </conditionalFormatting>
  <conditionalFormatting sqref="C7">
    <cfRule type="aboveAverage" dxfId="2146" priority="72"/>
  </conditionalFormatting>
  <conditionalFormatting sqref="C8:C9">
    <cfRule type="aboveAverage" dxfId="2145" priority="71"/>
  </conditionalFormatting>
  <conditionalFormatting sqref="G13:G16">
    <cfRule type="containsText" dxfId="2144" priority="69" operator="containsText" text="2">
      <formula>NOT(ISERROR(SEARCH("2",G13)))</formula>
    </cfRule>
    <cfRule type="containsText" dxfId="2143" priority="70" operator="containsText" text="1">
      <formula>NOT(ISERROR(SEARCH("1",G13)))</formula>
    </cfRule>
  </conditionalFormatting>
  <conditionalFormatting sqref="G16">
    <cfRule type="expression" dxfId="2142" priority="68">
      <formula>B16="-"</formula>
    </cfRule>
  </conditionalFormatting>
  <conditionalFormatting sqref="C13 C16">
    <cfRule type="aboveAverage" dxfId="2141" priority="67"/>
  </conditionalFormatting>
  <conditionalFormatting sqref="C14:C15">
    <cfRule type="aboveAverage" dxfId="2140" priority="66"/>
  </conditionalFormatting>
  <conditionalFormatting sqref="E7">
    <cfRule type="expression" dxfId="2139" priority="65">
      <formula>AND(COUNT(E7:E10)&lt;2,IF(ISNUMBER(C7),C10&gt;C7))</formula>
    </cfRule>
  </conditionalFormatting>
  <conditionalFormatting sqref="E8">
    <cfRule type="expression" dxfId="2138" priority="64">
      <formula>AND(COUNT(E7:E10)&lt;2,IF(ISNUMBER(C8),C9&gt;C8))</formula>
    </cfRule>
  </conditionalFormatting>
  <conditionalFormatting sqref="E9">
    <cfRule type="expression" dxfId="2137" priority="63">
      <formula>AND(COUNT(E7:E10)&lt;2,IF(ISNUMBER(C9),C8&gt;C9))</formula>
    </cfRule>
  </conditionalFormatting>
  <conditionalFormatting sqref="E7:E9">
    <cfRule type="aboveAverage" dxfId="2136" priority="62"/>
  </conditionalFormatting>
  <conditionalFormatting sqref="F7">
    <cfRule type="expression" dxfId="2135" priority="57">
      <formula>AND(COUNT(F7:F10)&lt;2,IF(COUNT(E7:E10)=2,IF(AND(ISNUMBER(E7),COUNTIF(E7:E10,E7)=1,E7=MAX(E7:E10)),TRUE,FALSE)))</formula>
    </cfRule>
    <cfRule type="expression" dxfId="2134" priority="61">
      <formula>AND(COUNT(F7:F10)&lt;2,IF(COUNT(D7:D10)=2,IF(AND(ISNUMBER(D7),COUNTIF(D7:D10,D7)=1,D7=MIN(D7:D10)),TRUE,FALSE)))</formula>
    </cfRule>
  </conditionalFormatting>
  <conditionalFormatting sqref="F8">
    <cfRule type="expression" dxfId="2133" priority="56">
      <formula>AND(COUNT(F7:F10)&lt;2,IF(COUNT(E7:E10)=2,IF(AND(ISNUMBER(E8),COUNTIF(E7:E10,E8)=1,E8=MAX(E7:E10)),TRUE,FALSE)))</formula>
    </cfRule>
    <cfRule type="expression" dxfId="2132" priority="60">
      <formula>AND(COUNT(F7:F10)&lt;2,IF(COUNT(D7:D10)=2,IF(AND(ISNUMBER(D8),COUNTIF(D7:D10,D8)=1,D8=MIN(D7:D10)),TRUE,FALSE)))</formula>
    </cfRule>
  </conditionalFormatting>
  <conditionalFormatting sqref="F9">
    <cfRule type="expression" dxfId="2131" priority="55">
      <formula>AND(COUNT(F7:F10)&lt;2,IF(COUNT(E7:E10)=2,IF(AND(ISNUMBER(E9),COUNTIF(E7:E10,E9)=1,E9=MAX(E7:E10)),TRUE,FALSE)))</formula>
    </cfRule>
    <cfRule type="expression" dxfId="2130" priority="59">
      <formula>AND(COUNT(F7:F10)&lt;2,IF(COUNT(D7:D10)=2,IF(AND(ISNUMBER(D9),COUNTIF(D7:D10,D9)=1,D9=MIN(D7:D10)),TRUE,FALSE)))</formula>
    </cfRule>
  </conditionalFormatting>
  <conditionalFormatting sqref="F10">
    <cfRule type="expression" dxfId="2129" priority="54">
      <formula>AND(COUNT(F7:F10)&lt;2,IF(COUNT(E7:E10)=2,IF(AND(ISNUMBER(E10),COUNTIF(E7:E10,E10)=1,E10=MAX(E7:E10)),TRUE,FALSE)))</formula>
    </cfRule>
    <cfRule type="expression" dxfId="2128" priority="58">
      <formula>AND(COUNT(F7:F10)&lt;2,IF(COUNT(D7:D10)=2,IF(AND(ISNUMBER(D10),COUNTIF(D7:D10,D10)=1,D10=MIN(D7:D10)),TRUE,FALSE)))</formula>
    </cfRule>
  </conditionalFormatting>
  <conditionalFormatting sqref="F7:F10">
    <cfRule type="aboveAverage" dxfId="2127" priority="53"/>
  </conditionalFormatting>
  <conditionalFormatting sqref="D7">
    <cfRule type="expression" dxfId="2126" priority="52">
      <formula>AND(COUNT(D7:D10)&lt;2,IF(ISNUMBER(C10),C7&gt;C10))</formula>
    </cfRule>
  </conditionalFormatting>
  <conditionalFormatting sqref="D8">
    <cfRule type="expression" dxfId="2125" priority="51">
      <formula>AND(COUNT(D7:D10)&lt;2,IF(ISNUMBER(C9),C8&gt;C9))</formula>
    </cfRule>
  </conditionalFormatting>
  <conditionalFormatting sqref="D9">
    <cfRule type="expression" dxfId="2124" priority="50">
      <formula>AND(COUNT(D7:D10)&lt;2,IF(ISNUMBER(C8),C9&gt;C8))</formula>
    </cfRule>
  </conditionalFormatting>
  <conditionalFormatting sqref="D10">
    <cfRule type="expression" dxfId="2123" priority="49">
      <formula>AND(COUNT(D7:D10)&lt;2,IF(ISNUMBER(C7),C10&gt;C7))</formula>
    </cfRule>
  </conditionalFormatting>
  <conditionalFormatting sqref="D7:D10">
    <cfRule type="aboveAverage" dxfId="2122" priority="48"/>
  </conditionalFormatting>
  <conditionalFormatting sqref="E16">
    <cfRule type="expression" dxfId="2121" priority="47">
      <formula>AND(COUNT(E13:E16)&lt;2,IF(ISNUMBER(C16),C13&gt;C16))</formula>
    </cfRule>
  </conditionalFormatting>
  <conditionalFormatting sqref="E13">
    <cfRule type="expression" dxfId="2120" priority="46">
      <formula>AND(COUNT(E13:E16)&lt;2,IF(ISNUMBER(C13),C16&gt;C13))</formula>
    </cfRule>
  </conditionalFormatting>
  <conditionalFormatting sqref="E14">
    <cfRule type="expression" dxfId="2119" priority="45">
      <formula>AND(COUNT(E13:E16)&lt;2,IF(ISNUMBER(C14),C15&gt;C14))</formula>
    </cfRule>
  </conditionalFormatting>
  <conditionalFormatting sqref="E15">
    <cfRule type="expression" dxfId="2118" priority="44">
      <formula>AND(COUNT(E13:E16)&lt;2,IF(ISNUMBER(C15),C14&gt;C15))</formula>
    </cfRule>
  </conditionalFormatting>
  <conditionalFormatting sqref="E13:E16">
    <cfRule type="aboveAverage" dxfId="2117" priority="43"/>
  </conditionalFormatting>
  <conditionalFormatting sqref="F13">
    <cfRule type="expression" dxfId="2116" priority="38">
      <formula>AND(COUNT(F13:F16)&lt;2,IF(COUNT(E13:E16)=2,IF(AND(ISNUMBER(E13),COUNTIF(E13:E16,E13)=1,E13=MAX(E13:E16)),TRUE,FALSE)))</formula>
    </cfRule>
    <cfRule type="expression" dxfId="2115" priority="42">
      <formula>AND(COUNT(F13:F16)&lt;2,IF(COUNT(D13:D16)=2,IF(AND(ISNUMBER(D13),COUNTIF(D13:D16,D13)=1,D13=MIN(D13:D16)),TRUE,FALSE)))</formula>
    </cfRule>
  </conditionalFormatting>
  <conditionalFormatting sqref="F14">
    <cfRule type="expression" dxfId="2114" priority="37">
      <formula>AND(COUNT(F13:F16)&lt;2,IF(COUNT(E13:E16)=2,IF(AND(ISNUMBER(E14),COUNTIF(E13:E16,E14)=1,E14=MAX(E13:E16)),TRUE,FALSE)))</formula>
    </cfRule>
    <cfRule type="expression" dxfId="2113" priority="41">
      <formula>AND(COUNT(F13:F16)&lt;2,IF(COUNT(D13:D16)=2,IF(AND(ISNUMBER(D14),COUNTIF(D13:D16,D14)=1,D14=MIN(D13:D16)),TRUE,FALSE)))</formula>
    </cfRule>
  </conditionalFormatting>
  <conditionalFormatting sqref="F15">
    <cfRule type="expression" dxfId="2112" priority="36">
      <formula>AND(COUNT(F13:F16)&lt;2,IF(COUNT(E13:E16)=2,IF(AND(ISNUMBER(E15),COUNTIF(E13:E16,E15)=1,E15=MAX(E13:E16)),TRUE,FALSE)))</formula>
    </cfRule>
    <cfRule type="expression" dxfId="2111" priority="40">
      <formula>AND(COUNT(F13:F16)&lt;2,IF(COUNT(D13:D16)=2,IF(AND(ISNUMBER(D15),COUNTIF(D13:D16,D15)=1,D15=MIN(D13:D16)),TRUE,FALSE)))</formula>
    </cfRule>
  </conditionalFormatting>
  <conditionalFormatting sqref="F16">
    <cfRule type="expression" dxfId="2110" priority="35">
      <formula>AND(COUNT(F13:F16)&lt;2,IF(COUNT(E13:E16)=2,IF(AND(ISNUMBER(E16),COUNTIF(E13:E16,E16)=1,E16=MAX(E13:E16)),TRUE,FALSE)))</formula>
    </cfRule>
    <cfRule type="expression" dxfId="2109" priority="39">
      <formula>AND(COUNT(F13:F16)&lt;2,IF(COUNT(D13:D16)=2,IF(AND(ISNUMBER(D16),COUNTIF(D13:D16,D16)=1,D16=MIN(D13:D16)),TRUE,FALSE)))</formula>
    </cfRule>
  </conditionalFormatting>
  <conditionalFormatting sqref="F13:F16">
    <cfRule type="aboveAverage" dxfId="2108" priority="34"/>
  </conditionalFormatting>
  <conditionalFormatting sqref="D13">
    <cfRule type="expression" dxfId="2107" priority="33">
      <formula>AND(COUNT(D13:D16)&lt;2,IF(ISNUMBER(C16),C13&gt;C16))</formula>
    </cfRule>
  </conditionalFormatting>
  <conditionalFormatting sqref="D14">
    <cfRule type="expression" dxfId="2106" priority="32">
      <formula>AND(COUNT(D13:D16)&lt;2,IF(ISNUMBER(C15),C14&gt;C15))</formula>
    </cfRule>
  </conditionalFormatting>
  <conditionalFormatting sqref="D15">
    <cfRule type="expression" dxfId="2105" priority="31">
      <formula>AND(COUNT(D13:D16)&lt;2,IF(ISNUMBER(C14),C15&gt;C14))</formula>
    </cfRule>
  </conditionalFormatting>
  <conditionalFormatting sqref="D16">
    <cfRule type="expression" dxfId="2104" priority="30">
      <formula>AND(COUNT(D13:D16)&lt;2,IF(ISNUMBER(C13),C16&gt;C13))</formula>
    </cfRule>
  </conditionalFormatting>
  <conditionalFormatting sqref="D13:D16">
    <cfRule type="aboveAverage" dxfId="2103" priority="29"/>
  </conditionalFormatting>
  <conditionalFormatting sqref="C10">
    <cfRule type="aboveAverage" dxfId="2102" priority="28"/>
  </conditionalFormatting>
  <conditionalFormatting sqref="E10">
    <cfRule type="expression" dxfId="2101" priority="27">
      <formula>AND(COUNT(E7:E10)&lt;2,IF(ISNUMBER(C10),C7&gt;C10))</formula>
    </cfRule>
  </conditionalFormatting>
  <conditionalFormatting sqref="E10">
    <cfRule type="aboveAverage" dxfId="2100" priority="26"/>
  </conditionalFormatting>
  <conditionalFormatting sqref="B8">
    <cfRule type="duplicateValues" dxfId="2099" priority="25"/>
  </conditionalFormatting>
  <conditionalFormatting sqref="R7:R16">
    <cfRule type="expression" dxfId="2098" priority="19">
      <formula>AND(S7="",FIND(",",R7))</formula>
    </cfRule>
    <cfRule type="expression" dxfId="2097" priority="24">
      <formula>AND(S7="",COUNTIF(R7,"*,*")=0)</formula>
    </cfRule>
  </conditionalFormatting>
  <conditionalFormatting sqref="T7:T16">
    <cfRule type="expression" dxfId="2096" priority="23">
      <formula>AND(U7="",COUNTIF(T7,"*,*")=0)</formula>
    </cfRule>
  </conditionalFormatting>
  <conditionalFormatting sqref="V7:V10 V13:V16">
    <cfRule type="expression" dxfId="2095" priority="22">
      <formula>AND(W7="",COUNTIF(V7,"*,*")=0)</formula>
    </cfRule>
  </conditionalFormatting>
  <conditionalFormatting sqref="P7:P16">
    <cfRule type="expression" dxfId="2094" priority="21">
      <formula>AND(Q7="",COUNTIF(P7,"*,*")=0)</formula>
    </cfRule>
  </conditionalFormatting>
  <conditionalFormatting sqref="N7:N16">
    <cfRule type="expression" dxfId="2093" priority="20">
      <formula>AND(O7="",COUNTIF(N7,"*,*")=0)</formula>
    </cfRule>
  </conditionalFormatting>
  <conditionalFormatting sqref="A101:A107">
    <cfRule type="cellIs" dxfId="2092" priority="17" operator="equal">
      <formula>"-"</formula>
    </cfRule>
    <cfRule type="duplicateValues" dxfId="2091" priority="18"/>
  </conditionalFormatting>
  <conditionalFormatting sqref="G119 G123 G126 G128">
    <cfRule type="containsBlanks" dxfId="2090" priority="3">
      <formula>LEN(TRIM(G119))=0</formula>
    </cfRule>
  </conditionalFormatting>
  <conditionalFormatting sqref="C101 C103">
    <cfRule type="aboveAverage" dxfId="2089" priority="14"/>
  </conditionalFormatting>
  <conditionalFormatting sqref="C105 C107">
    <cfRule type="aboveAverage" dxfId="2088" priority="13"/>
  </conditionalFormatting>
  <conditionalFormatting sqref="C101 C103 C105 C107">
    <cfRule type="containsBlanks" dxfId="2087" priority="12">
      <formula>LEN(TRIM(C101))=0</formula>
    </cfRule>
  </conditionalFormatting>
  <conditionalFormatting sqref="C118 C120">
    <cfRule type="aboveAverage" dxfId="2086" priority="11"/>
  </conditionalFormatting>
  <conditionalFormatting sqref="C122 C124">
    <cfRule type="aboveAverage" dxfId="2085" priority="10"/>
  </conditionalFormatting>
  <conditionalFormatting sqref="C118 C120 C122 C124">
    <cfRule type="containsBlanks" dxfId="2084" priority="9">
      <formula>LEN(TRIM(C118))=0</formula>
    </cfRule>
  </conditionalFormatting>
  <conditionalFormatting sqref="G102 G106 G109 G111">
    <cfRule type="containsBlanks" dxfId="2083" priority="6">
      <formula>LEN(TRIM(G102))=0</formula>
    </cfRule>
  </conditionalFormatting>
  <conditionalFormatting sqref="G102 G106">
    <cfRule type="aboveAverage" dxfId="2082" priority="8"/>
  </conditionalFormatting>
  <conditionalFormatting sqref="G109 G111">
    <cfRule type="aboveAverage" dxfId="2081" priority="7"/>
  </conditionalFormatting>
  <conditionalFormatting sqref="G119 G123">
    <cfRule type="aboveAverage" dxfId="2080" priority="5"/>
  </conditionalFormatting>
  <conditionalFormatting sqref="G126 G128">
    <cfRule type="aboveAverage" dxfId="2079" priority="4"/>
  </conditionalFormatting>
  <conditionalFormatting sqref="A118:A124">
    <cfRule type="cellIs" dxfId="2078" priority="1" operator="equal">
      <formula>"-"</formula>
    </cfRule>
    <cfRule type="duplicateValues" dxfId="2077" priority="2"/>
  </conditionalFormatting>
  <conditionalFormatting sqref="B9:B10 B7">
    <cfRule type="duplicateValues" dxfId="2076" priority="2946"/>
  </conditionalFormatting>
  <conditionalFormatting sqref="B300:B312">
    <cfRule type="containsBlanks" dxfId="2075" priority="2947">
      <formula>LEN(TRIM(B300))=0</formula>
    </cfRule>
    <cfRule type="duplicateValues" dxfId="2074" priority="2948"/>
  </conditionalFormatting>
  <pageMargins left="0.78740157480314965" right="0.39370078740157483" top="0.78740157480314965" bottom="0.31496062992125984" header="0.59055118110236227" footer="0"/>
  <pageSetup paperSize="9" scale="92" fitToHeight="0" orientation="landscape" horizontalDpi="1200" verticalDpi="1200" r:id="rId1"/>
  <headerFooter>
    <oddHeader>&amp;R&amp;"Arial,Regular"&amp;9Page &amp;P of &amp;N</oddHeader>
  </headerFooter>
  <rowBreaks count="1" manualBreakCount="1">
    <brk id="11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A1:N316"/>
  <sheetViews>
    <sheetView showGridLines="0" showRowColHeaders="0" zoomScaleNormal="100" workbookViewId="0">
      <pane ySplit="2" topLeftCell="A3" activePane="bottomLeft" state="frozen"/>
      <selection activeCell="K1" sqref="K1"/>
      <selection pane="bottomLeft" activeCell="L1" sqref="L1"/>
    </sheetView>
  </sheetViews>
  <sheetFormatPr defaultRowHeight="12.75" x14ac:dyDescent="0.2"/>
  <cols>
    <col min="1" max="1" width="5.5703125" style="277" customWidth="1"/>
    <col min="2" max="2" width="18.7109375" style="277" bestFit="1" customWidth="1"/>
    <col min="3" max="9" width="6.7109375" style="277" customWidth="1"/>
    <col min="10" max="10" width="6.7109375" style="277" hidden="1" customWidth="1"/>
    <col min="11" max="12" width="4.7109375" style="277" customWidth="1"/>
    <col min="13" max="13" width="6.7109375" style="277" hidden="1" customWidth="1"/>
    <col min="14" max="16384" width="9.140625" style="277"/>
  </cols>
  <sheetData>
    <row r="1" spans="1:14" x14ac:dyDescent="0.2">
      <c r="A1" s="31" t="str">
        <f>UPPER((Kalend!E31)&amp;" - "&amp;(Kalend!C31)&amp;" - "&amp;(Kalend!D31))</f>
        <v>8 - JÕHVI 18. MV - ÜKSIK</v>
      </c>
      <c r="G1" s="495" t="str">
        <f>HYPERLINK("#'Kalend'!I1","Kalender")</f>
        <v>Kalender</v>
      </c>
      <c r="I1" s="495" t="str">
        <f>HYPERLINK("#'Reit'!T1","Reiting")</f>
        <v>Reiting</v>
      </c>
      <c r="M1" s="497"/>
    </row>
    <row r="2" spans="1:14" x14ac:dyDescent="0.2">
      <c r="A2" s="2" t="str">
        <f>"Toimumisaeg: "&amp;(Kalend!A31)&amp;" kell "&amp;(Kalend!B31)</f>
        <v>Toimumisaeg: P, 29.07.2018 kell 11:00</v>
      </c>
    </row>
    <row r="3" spans="1:14" x14ac:dyDescent="0.2">
      <c r="A3" s="2" t="str">
        <f>"Toimumiskoht: "&amp;(Kalend!F31)</f>
        <v>Toimumiskoht: Jõhvi, Neptun</v>
      </c>
    </row>
    <row r="4" spans="1:14" x14ac:dyDescent="0.2">
      <c r="A4" s="2" t="str">
        <f>"Korraldaja: "&amp;(Kalend!G31)</f>
        <v>Korraldaja: LTK Üks-Teist, Tõnu Kapper</v>
      </c>
    </row>
    <row r="5" spans="1:14" x14ac:dyDescent="0.2">
      <c r="A5" s="55"/>
      <c r="B5" s="55"/>
      <c r="C5" s="55"/>
      <c r="D5" s="55"/>
      <c r="E5" s="55"/>
      <c r="F5" s="55"/>
      <c r="G5" s="55"/>
      <c r="H5" s="55"/>
    </row>
    <row r="6" spans="1:14" s="506" customFormat="1" x14ac:dyDescent="0.2">
      <c r="A6" s="500" t="s">
        <v>140</v>
      </c>
      <c r="B6" s="501"/>
      <c r="C6" s="502">
        <v>1</v>
      </c>
      <c r="D6" s="502">
        <v>2</v>
      </c>
      <c r="E6" s="502">
        <v>3</v>
      </c>
      <c r="F6" s="502">
        <v>4</v>
      </c>
      <c r="G6" s="502"/>
      <c r="H6" s="502" t="s">
        <v>363</v>
      </c>
      <c r="I6" s="501" t="s">
        <v>26</v>
      </c>
      <c r="J6" s="503" t="s">
        <v>156</v>
      </c>
      <c r="K6" s="504" t="s">
        <v>156</v>
      </c>
      <c r="L6" s="505" t="s">
        <v>364</v>
      </c>
      <c r="M6" s="506" t="b">
        <f>OR(AND(COUNTA(B7:B11)=3,COUNTA(C7:G11)=6),AND(COUNTA(B7:B11)=4,COUNTA(C7:G11)=12),AND(COUNTA(B7:B11)=5,COUNTA(C7:G11)=20))</f>
        <v>1</v>
      </c>
      <c r="N6" s="668"/>
    </row>
    <row r="7" spans="1:14" s="506" customFormat="1" x14ac:dyDescent="0.2">
      <c r="A7" s="500">
        <v>1</v>
      </c>
      <c r="B7" s="849" t="s">
        <v>96</v>
      </c>
      <c r="C7" s="509"/>
      <c r="D7" s="510">
        <v>11</v>
      </c>
      <c r="E7" s="510">
        <v>13</v>
      </c>
      <c r="F7" s="510">
        <v>13</v>
      </c>
      <c r="G7" s="510"/>
      <c r="H7" s="511" t="str">
        <f>(IF(D7-C8&gt;0,1)+IF(E7-C9&gt;0,1)+IF(F7-C10&gt;0,1)+IF(G7-C11&gt;0,1))&amp;"-"&amp;(IF(D7-C8&lt;0,1)+IF(E7-C9&lt;0,1)+IF(F7-C10&lt;0,1)+IF(G7-C11&lt;0,1))</f>
        <v>2-1</v>
      </c>
      <c r="I7" s="510" t="str">
        <f>IF(AND(B7&lt;&gt;"",M$6=TRUE),A$6&amp;RANK(M7,M$7:M$11,0),"")</f>
        <v>A2</v>
      </c>
      <c r="J7" s="512">
        <f>VALUE(LEFT(H7,1))</f>
        <v>2</v>
      </c>
      <c r="K7" s="513">
        <f>IF(AND(J7=1,J8=1,D7&gt;C8),1)+IF(AND(J7=1,J9=1,E7&gt;C9),1)+IF(AND(J7=1,J10=1,F7&gt;C10),1)+IF(AND(J7=1,J11=1,G7&gt;C11),1)+IF(AND(J7=2,J8=2,D7&gt;C8),1)+IF(AND(J7=2,J9=2,E7&gt;C9),1)+IF(AND(J7=2,J10=2,F7&gt;C10),1)+IF(AND(J7=2,J11=2,G7&gt;C11),1)+IF(AND(J7=3,J8=3,D7&gt;C8),1)+IF(AND(J7=3,J9=3,E7&gt;C9),1)+IF(AND(J7=3,J10=3,F7&gt;C10),1)+IF(AND(J7=3,J11=3,G7&gt;C11),1)</f>
        <v>0</v>
      </c>
      <c r="L7" s="1305"/>
      <c r="M7" s="515">
        <f>10000*J7+K7*100+L7</f>
        <v>20000</v>
      </c>
      <c r="N7" s="668"/>
    </row>
    <row r="8" spans="1:14" s="506" customFormat="1" x14ac:dyDescent="0.2">
      <c r="A8" s="500">
        <v>2</v>
      </c>
      <c r="B8" s="850" t="s">
        <v>103</v>
      </c>
      <c r="C8" s="510">
        <v>13</v>
      </c>
      <c r="D8" s="509"/>
      <c r="E8" s="510">
        <v>13</v>
      </c>
      <c r="F8" s="510">
        <v>13</v>
      </c>
      <c r="G8" s="510"/>
      <c r="H8" s="511" t="str">
        <f>(IF(C8-D7&gt;0,1)+IF(E8-D9&gt;0,1)+IF(F8-D10&gt;0,1)+IF(G8-D11&gt;0,1))&amp;"-"&amp;(IF(C8-D7&lt;0,1)+IF(E8-D9&lt;0,1)+IF(F8-D10&lt;0,1)+IF(G8-D11&lt;0,1))</f>
        <v>3-0</v>
      </c>
      <c r="I8" s="510" t="str">
        <f>IF(AND(B8&lt;&gt;"",M$6=TRUE),A$6&amp;RANK(M8,M$7:M$11,0),"")</f>
        <v>A1</v>
      </c>
      <c r="J8" s="512">
        <f t="shared" ref="J8:J11" si="0">VALUE(LEFT(H8,1))</f>
        <v>3</v>
      </c>
      <c r="K8" s="639">
        <f>IF(AND(J8=1,J7=1,C8&gt;D7),1)+IF(AND(J8=1,J9=1,E8&gt;D9),1)+IF(AND(J8=1,J10=1,F8&gt;D10),1)+IF(AND(J8=1,J11=1,G8&gt;D11),1)+IF(AND(J8=2,J7=2,C8&gt;D7),1)+IF(AND(J8=2,J9=2,E8&gt;D9),1)+IF(AND(J8=2,J10=2,F8&gt;D10),1)+IF(AND(J8=2,J11=2,G8&gt;D11),1)+IF(AND(J8=3,J7=3,C8&gt;D7),1)+IF(AND(J8=3,J9=3,E8&gt;D9),1)+IF(AND(J8=3,J10=3,F8&gt;D10),1)+IF(AND(J8=3,J11=3,G8&gt;D11),1)</f>
        <v>0</v>
      </c>
      <c r="L8" s="1305">
        <f>IF(AND(J8=1,J7=1),C8-D7)+IF(AND(J8=1,J9=1),E8-D9)+IF(AND(J8=1,J10=1),F8-D10)+IF(AND(J8=1,J11=1),G8-D11)+IF(AND(J8=2,J7=2),C8-D7)+IF(AND(J8=2,J9=2),E8-D9)+IF(AND(J8=2,J10=2),F8-D10)+IF(AND(J8=2,J11=2),G8-D11)+IF(AND(J8=3,J7=3),C8-D7)+IF(AND(J8=3,J9=3),E8-D9)+IF(AND(J8=3,J10=3),F8-D10)+IF(AND(J8=3,J11=3),G8-D11)</f>
        <v>0</v>
      </c>
      <c r="M8" s="515">
        <f t="shared" ref="M8:M11" si="1">10000*J8+K8*100+L8</f>
        <v>30000</v>
      </c>
      <c r="N8" s="668"/>
    </row>
    <row r="9" spans="1:14" s="506" customFormat="1" x14ac:dyDescent="0.2">
      <c r="A9" s="500">
        <v>3</v>
      </c>
      <c r="B9" s="518" t="s">
        <v>209</v>
      </c>
      <c r="C9" s="510">
        <v>9</v>
      </c>
      <c r="D9" s="520">
        <v>7</v>
      </c>
      <c r="E9" s="509"/>
      <c r="F9" s="510">
        <v>1</v>
      </c>
      <c r="G9" s="510"/>
      <c r="H9" s="511" t="str">
        <f>(IF(C9-E7&gt;0,1)+IF(D9-E8&gt;0,1)+IF(F9-E10&gt;0,1)+IF(G9-E11&gt;0,1))&amp;"-"&amp;(IF(C9-E7&lt;0,1)+IF(D9-E8&lt;0,1)+IF(F9-E10&lt;0,1)+IF(G9-E11&lt;0,1))</f>
        <v>0-3</v>
      </c>
      <c r="I9" s="510" t="str">
        <f>IF(AND(B9&lt;&gt;"",M$6=TRUE),A$6&amp;RANK(M9,M$7:M$11,0),"")</f>
        <v>A4</v>
      </c>
      <c r="J9" s="512">
        <f t="shared" si="0"/>
        <v>0</v>
      </c>
      <c r="K9" s="639">
        <f>IF(AND(J9=1,J7=1,C9&gt;E7),1)+IF(AND(J9=1,J8=1,D9&gt;E8),1)+IF(AND(J9=1,J10=1,F9&gt;E10),1)+IF(AND(J9=1,J11=1,G9&gt;E11),1)+IF(AND(J9=2,J7=2,C9&gt;E7),1)+IF(AND(J9=2,J8=2,D9&gt;E8),1)+IF(AND(J9=2,J10=2,F9&gt;E10),1)+IF(AND(J9=2,J11=2,G9&gt;E11),1)+IF(AND(J9=3,J7=3,C9&gt;E7),1)+IF(AND(J9=3,J8=3,D9&gt;E8),1)+IF(AND(J9=3,J10=3,F9&gt;E10),1)+IF(AND(J9=3,J11=3,G9&gt;E11),1)</f>
        <v>0</v>
      </c>
      <c r="L9" s="1305">
        <f>IF(AND(J9=1,J7=1),C9-E7)+IF(AND(J9=1,J8=1),D9-E8)+IF(AND(J9=1,J10=1),F9-E10)+IF(AND(J9=1,J11=1),G9-E11)+IF(AND(J9=2,J7=2),C9-E7)+IF(AND(J9=2,J8=2),D9-E8)+IF(AND(J9=2,J10=2),F9-E10)+IF(AND(J9=2,J11=2),G9-E11)+IF(AND(J9=3,J7=3),C9-E7)+IF(AND(J9=3,J8=3),D9-E8)+IF(AND(J9=3,J10=3),F9-E10)+IF(AND(J9=3,J11=3),G9-E11)</f>
        <v>0</v>
      </c>
      <c r="M9" s="515">
        <f t="shared" si="1"/>
        <v>0</v>
      </c>
      <c r="N9" s="668"/>
    </row>
    <row r="10" spans="1:14" s="506" customFormat="1" x14ac:dyDescent="0.2">
      <c r="A10" s="500">
        <v>4</v>
      </c>
      <c r="B10" s="521" t="s">
        <v>126</v>
      </c>
      <c r="C10" s="510">
        <v>11</v>
      </c>
      <c r="D10" s="520">
        <v>7</v>
      </c>
      <c r="E10" s="510">
        <v>13</v>
      </c>
      <c r="F10" s="509"/>
      <c r="G10" s="522"/>
      <c r="H10" s="511" t="str">
        <f>(IF(C10-F7&gt;0,1)+IF(D10-F8&gt;0,1)+IF(E10-F9&gt;0,1)+IF(G10-F11&gt;0,1))&amp;"-"&amp;(IF(C10-F7&lt;0,1)+IF(D10-F8&lt;0,1)+IF(E10-F9&lt;0,1)+IF(G10-F11&lt;0,1))</f>
        <v>1-2</v>
      </c>
      <c r="I10" s="510" t="str">
        <f>IF(AND(B10&lt;&gt;"",M$6=TRUE),A$6&amp;RANK(M10,M$7:M$11,0),"")</f>
        <v>A3</v>
      </c>
      <c r="J10" s="512">
        <f t="shared" si="0"/>
        <v>1</v>
      </c>
      <c r="K10" s="639">
        <f>IF(AND(J10=1,J7=1,C10&gt;F7),1)+IF(AND(J10=1,J8=1,D10&gt;F8),1)+IF(AND(J10=1,J9=1,E10&gt;F9),1)+IF(AND(J10=1,J11=1,G10&gt;F11),1)+IF(AND(J10=2,J7=2,C10&gt;F7),1)+IF(AND(J10=2,J8=2,D10&gt;F8),1)+IF(AND(J10=2,J9=2,E10&gt;F9),1)+IF(AND(J10=2,J11=2,G10&gt;F11),1)+IF(AND(J10=3,J7=3,C10&gt;F7),1)+IF(AND(J10=3,J8=3,D10&gt;F8),1)+IF(AND(J10=3,J9=3,E10&gt;F9),1)+IF(AND(J10=3,J11=3,G10&gt;F11),1)</f>
        <v>0</v>
      </c>
      <c r="L10" s="1305">
        <f>IF(AND(J10=1,J7=1),C10-F7)+IF(AND(J10=1,J8=1),D10-F8)+IF(AND(J10=1,J9=1),E10-F9)+IF(AND(J10=1,J11=1),G10-F11)+IF(AND(J10=2,J7=2),C10-F7)+IF(AND(J10=2,J8=2),D10-F8)+IF(AND(J10=2,J9=2),E10-F9)+IF(AND(J10=2,J11=2),G10-F11)+IF(AND(J10=3,J7=3),C10-F7)+IF(AND(J10=3,J8=3),D10-F8)+IF(AND(J10=3,J9=3),E10-F9)+IF(AND(J10=3,J11=3),G10-F11)</f>
        <v>0</v>
      </c>
      <c r="M10" s="515">
        <f t="shared" si="1"/>
        <v>10000</v>
      </c>
      <c r="N10" s="668"/>
    </row>
    <row r="11" spans="1:14" s="506" customFormat="1" hidden="1" x14ac:dyDescent="0.2">
      <c r="A11" s="500">
        <v>5</v>
      </c>
      <c r="B11" s="521"/>
      <c r="C11" s="510"/>
      <c r="D11" s="510"/>
      <c r="E11" s="510"/>
      <c r="F11" s="510"/>
      <c r="G11" s="509"/>
      <c r="H11" s="511" t="str">
        <f>(IF(C11-G7&gt;0,1)+IF(D11-G8&gt;0,1)+IF(E11-G9&gt;0,1)+IF(F11-G10&gt;0,1))&amp;"-"&amp;(IF(C11-G7&lt;0,1)+IF(D11-G8&lt;0,1)+IF(E11-G9&lt;0,1)+IF(F11-G10&lt;0,1))</f>
        <v>0-0</v>
      </c>
      <c r="I11" s="510" t="str">
        <f>IF(AND(B11&lt;&gt;"",M$6=TRUE),A$6&amp;RANK(M11,M$7:M$11,0),"")</f>
        <v/>
      </c>
      <c r="J11" s="512">
        <f t="shared" si="0"/>
        <v>0</v>
      </c>
      <c r="K11" s="639">
        <f>IF(AND(J11=1,J7=1,C11&gt;G7),1)+IF(AND(J11=1,J8=1,D11&gt;G8),1)+IF(AND(J11=1,J9=1,E11&gt;G9),1)+IF(AND(J11=1,J10=1,F11&gt;G10),1)+IF(AND(J11=2,J7=2,C11&gt;G7),1)+IF(AND(J11=2,J8=2,D11&gt;G8),1)+IF(AND(J11=2,J9=2,E11&gt;G9),1)+IF(AND(J11=2,J10=2,F11&gt;G10),1)+IF(AND(J11=3,J7=3,C11&gt;G7),1)+IF(AND(J11=3,J8=3,D11&gt;G8),1)+IF(AND(J11=3,J9=3,E11&gt;G9),1)+IF(AND(J11=3,J10=3,F11&gt;G10),1)</f>
        <v>0</v>
      </c>
      <c r="L11" s="1305">
        <f>IF(AND(J11=1,J7=1),C11-G7)+IF(AND(J11=1,J8=1),D11-G8)+IF(AND(J11=1,J9=1),E11-G9)+IF(AND(J11=1,J10=1),F11-G10)+IF(AND(J11=2,J7=2),C11-G7)+IF(AND(J11=2,J8=2),D11-G8)+IF(AND(J11=2,J9=2),E11-G9)+IF(AND(J11=2,J10=2),F11-G10)+IF(AND(J11=3,J7=3),C11-G7)+IF(AND(J11=3,J8=3),D11-G8)+IF(AND(J11=3,J9=3),E11-G9)+IF(AND(J11=3,J10=3),F11-G10)</f>
        <v>0</v>
      </c>
      <c r="M11" s="515">
        <f t="shared" si="1"/>
        <v>0</v>
      </c>
      <c r="N11" s="668"/>
    </row>
    <row r="12" spans="1:14" s="506" customFormat="1" x14ac:dyDescent="0.2">
      <c r="A12" s="523"/>
      <c r="B12" s="524"/>
      <c r="C12" s="525"/>
      <c r="D12" s="526"/>
      <c r="E12" s="525"/>
      <c r="F12" s="527"/>
      <c r="H12" s="528"/>
      <c r="I12" s="529"/>
      <c r="J12" s="496"/>
      <c r="K12" s="530"/>
      <c r="L12" s="531"/>
      <c r="M12" s="496"/>
      <c r="N12" s="668"/>
    </row>
    <row r="13" spans="1:14" s="498" customFormat="1" x14ac:dyDescent="0.2">
      <c r="A13" s="500" t="s">
        <v>141</v>
      </c>
      <c r="B13" s="501"/>
      <c r="C13" s="502">
        <v>1</v>
      </c>
      <c r="D13" s="502">
        <v>2</v>
      </c>
      <c r="E13" s="502">
        <v>3</v>
      </c>
      <c r="F13" s="502">
        <v>4</v>
      </c>
      <c r="G13" s="502"/>
      <c r="H13" s="501" t="s">
        <v>363</v>
      </c>
      <c r="I13" s="501" t="s">
        <v>26</v>
      </c>
      <c r="J13" s="533" t="s">
        <v>156</v>
      </c>
      <c r="K13" s="504" t="s">
        <v>156</v>
      </c>
      <c r="L13" s="534" t="s">
        <v>364</v>
      </c>
      <c r="M13" s="535" t="b">
        <f>OR(AND(COUNTA(B14:B18)=3,COUNTA(C14:G18)=6),AND(COUNTA(B14:B18)=4,COUNTA(C14:G18)=12),AND(COUNTA(B14:B18)=5,COUNTA(C14:G18)=20))</f>
        <v>1</v>
      </c>
      <c r="N13" s="668"/>
    </row>
    <row r="14" spans="1:14" s="498" customFormat="1" x14ac:dyDescent="0.2">
      <c r="A14" s="500">
        <v>1</v>
      </c>
      <c r="B14" s="849" t="s">
        <v>94</v>
      </c>
      <c r="C14" s="509"/>
      <c r="D14" s="510">
        <v>13</v>
      </c>
      <c r="E14" s="510">
        <v>13</v>
      </c>
      <c r="F14" s="851">
        <v>11</v>
      </c>
      <c r="G14" s="510"/>
      <c r="H14" s="511" t="str">
        <f>(IF(D14-C15&gt;0,1)+IF(E14-C16&gt;0,1)+IF(F14-C17&gt;0,1)+IF(G14-C18&gt;0,1))&amp;"-"&amp;(IF(D14-C15&lt;0,1)+IF(E14-C16&lt;0,1)+IF(F14-C17&lt;0,1)+IF(G14-C18&lt;0,1))</f>
        <v>2-1</v>
      </c>
      <c r="I14" s="510" t="str">
        <f>IF(AND(B14&lt;&gt;"",M$13=TRUE),A$13&amp;RANK(M14,M$14:M$18,0),"")</f>
        <v>B2</v>
      </c>
      <c r="J14" s="512">
        <f>VALUE(LEFT(H14,1))</f>
        <v>2</v>
      </c>
      <c r="K14" s="513">
        <f>IF(AND(J14=1,J15=1,D14&gt;C15),1)+IF(AND(J14=1,J16=1,E14&gt;C16),1)+IF(AND(J14=1,J17=1,F14&gt;C17),1)+IF(AND(J14=1,J18=1,G14&gt;C18),1)+IF(AND(J14=2,J15=2,D14&gt;C15),1)+IF(AND(J14=2,J16=2,E14&gt;C16),1)+IF(AND(J14=2,J17=2,F14&gt;C17),1)+IF(AND(J14=2,J18=2,G14&gt;C18),1)+IF(AND(J14=3,J15=3,D14&gt;C15),1)+IF(AND(J14=3,J16=3,E14&gt;C16),1)+IF(AND(J14=3,J17=3,F14&gt;C17),1)+IF(AND(J14=3,J18=3,G14&gt;C18),1)</f>
        <v>0</v>
      </c>
      <c r="L14" s="1305"/>
      <c r="M14" s="515">
        <f>10000*J14+K14*100+L14</f>
        <v>20000</v>
      </c>
      <c r="N14" s="668"/>
    </row>
    <row r="15" spans="1:14" s="498" customFormat="1" x14ac:dyDescent="0.2">
      <c r="A15" s="500">
        <v>2</v>
      </c>
      <c r="B15" s="850" t="s">
        <v>93</v>
      </c>
      <c r="C15" s="510">
        <v>10</v>
      </c>
      <c r="D15" s="509"/>
      <c r="E15" s="852">
        <v>13</v>
      </c>
      <c r="F15" s="510">
        <v>11</v>
      </c>
      <c r="G15" s="510"/>
      <c r="H15" s="511" t="str">
        <f>(IF(C15-D14&gt;0,1)+IF(E15-D16&gt;0,1)+IF(F15-D17&gt;0,1)+IF(G15-D18&gt;0,1))&amp;"-"&amp;(IF(C15-D14&lt;0,1)+IF(E15-D16&lt;0,1)+IF(F15-D17&lt;0,1)+IF(G15-D18&lt;0,1))</f>
        <v>1-2</v>
      </c>
      <c r="I15" s="510" t="str">
        <f>IF(AND(B15&lt;&gt;"",M$13=TRUE),A$13&amp;RANK(M15,M$14:M$18,0),"")</f>
        <v>B3</v>
      </c>
      <c r="J15" s="512">
        <f t="shared" ref="J15:J18" si="2">VALUE(LEFT(H15,1))</f>
        <v>1</v>
      </c>
      <c r="K15" s="639">
        <f>IF(AND(J15=1,J14=1,C15&gt;D14),1)+IF(AND(J15=1,J16=1,E15&gt;D16),1)+IF(AND(J15=1,J17=1,F15&gt;D17),1)+IF(AND(J15=1,J18=1,G15&gt;D18),1)+IF(AND(J15=2,J14=2,C15&gt;D14),1)+IF(AND(J15=2,J16=2,E15&gt;D16),1)+IF(AND(J15=2,J17=2,F15&gt;D17),1)+IF(AND(J15=2,J18=2,G15&gt;D18),1)+IF(AND(J15=3,J14=3,C15&gt;D14),1)+IF(AND(J15=3,J16=3,E15&gt;D16),1)+IF(AND(J15=3,J17=3,F15&gt;D17),1)+IF(AND(J15=3,J18=3,G15&gt;D18),1)</f>
        <v>1</v>
      </c>
      <c r="L15" s="1305"/>
      <c r="M15" s="515">
        <f t="shared" ref="M15:M18" si="3">10000*J15+K15*100+L15</f>
        <v>10100</v>
      </c>
      <c r="N15" s="668"/>
    </row>
    <row r="16" spans="1:14" s="498" customFormat="1" x14ac:dyDescent="0.2">
      <c r="A16" s="500">
        <v>3</v>
      </c>
      <c r="B16" s="849" t="s">
        <v>109</v>
      </c>
      <c r="C16" s="510">
        <v>7</v>
      </c>
      <c r="D16" s="853">
        <v>7</v>
      </c>
      <c r="E16" s="509"/>
      <c r="F16" s="510">
        <v>13</v>
      </c>
      <c r="G16" s="510"/>
      <c r="H16" s="511" t="str">
        <f>(IF(C16-E14&gt;0,1)+IF(D16-E15&gt;0,1)+IF(F16-E17&gt;0,1)+IF(G16-E18&gt;0,1))&amp;"-"&amp;(IF(C16-E14&lt;0,1)+IF(D16-E15&lt;0,1)+IF(F16-E17&lt;0,1)+IF(G16-E18&lt;0,1))</f>
        <v>1-2</v>
      </c>
      <c r="I16" s="510" t="str">
        <f>IF(AND(B16&lt;&gt;"",M$13=TRUE),A$13&amp;RANK(M16,M$14:M$18,0),"")</f>
        <v>B4</v>
      </c>
      <c r="J16" s="512">
        <f t="shared" si="2"/>
        <v>1</v>
      </c>
      <c r="K16" s="639">
        <f>IF(AND(J16=1,J14=1,C16&gt;E14),1)+IF(AND(J16=1,J15=1,D16&gt;E15),1)+IF(AND(J16=1,J17=1,F16&gt;E17),1)+IF(AND(J16=1,J18=1,G16&gt;E18),1)+IF(AND(J16=2,J14=2,C16&gt;E14),1)+IF(AND(J16=2,J15=2,D16&gt;E15),1)+IF(AND(J16=2,J17=2,F16&gt;E17),1)+IF(AND(J16=2,J18=2,G16&gt;E18),1)+IF(AND(J16=3,J14=3,C16&gt;E14),1)+IF(AND(J16=3,J15=3,D16&gt;E15),1)+IF(AND(J16=3,J17=3,F16&gt;E17),1)+IF(AND(J16=3,J18=3,G16&gt;E18),1)</f>
        <v>0</v>
      </c>
      <c r="L16" s="1305"/>
      <c r="M16" s="515">
        <f t="shared" si="3"/>
        <v>10000</v>
      </c>
      <c r="N16" s="668"/>
    </row>
    <row r="17" spans="1:14" s="498" customFormat="1" x14ac:dyDescent="0.2">
      <c r="A17" s="500">
        <v>4</v>
      </c>
      <c r="B17" s="521" t="s">
        <v>97</v>
      </c>
      <c r="C17" s="851">
        <v>13</v>
      </c>
      <c r="D17" s="520">
        <v>13</v>
      </c>
      <c r="E17" s="510">
        <v>8</v>
      </c>
      <c r="F17" s="509"/>
      <c r="G17" s="522"/>
      <c r="H17" s="511" t="str">
        <f>(IF(C17-F14&gt;0,1)+IF(D17-F15&gt;0,1)+IF(E17-F16&gt;0,1)+IF(G17-F18&gt;0,1))&amp;"-"&amp;(IF(C17-F14&lt;0,1)+IF(D17-F15&lt;0,1)+IF(E17-F16&lt;0,1)+IF(G17-F18&lt;0,1))</f>
        <v>2-1</v>
      </c>
      <c r="I17" s="510" t="str">
        <f>IF(AND(B17&lt;&gt;"",M$13=TRUE),A$13&amp;RANK(M17,M$14:M$18,0),"")</f>
        <v>B1</v>
      </c>
      <c r="J17" s="512">
        <f t="shared" si="2"/>
        <v>2</v>
      </c>
      <c r="K17" s="639">
        <f>IF(AND(J17=1,J14=1,C17&gt;F14),1)+IF(AND(J17=1,J15=1,D17&gt;F15),1)+IF(AND(J17=1,J16=1,E17&gt;F16),1)+IF(AND(J17=1,J18=1,G17&gt;F18),1)+IF(AND(J17=2,J14=2,C17&gt;F14),1)+IF(AND(J17=2,J15=2,D17&gt;F15),1)+IF(AND(J17=2,J16=2,E17&gt;F16),1)+IF(AND(J17=2,J18=2,G17&gt;F18),1)+IF(AND(J17=3,J14=3,C17&gt;F14),1)+IF(AND(J17=3,J15=3,D17&gt;F15),1)+IF(AND(J17=3,J16=3,E17&gt;F16),1)+IF(AND(J17=3,J18=3,G17&gt;F18),1)</f>
        <v>1</v>
      </c>
      <c r="L17" s="1305"/>
      <c r="M17" s="515">
        <f t="shared" si="3"/>
        <v>20100</v>
      </c>
      <c r="N17" s="668"/>
    </row>
    <row r="18" spans="1:14" s="498" customFormat="1" hidden="1" x14ac:dyDescent="0.2">
      <c r="A18" s="500">
        <v>5</v>
      </c>
      <c r="B18" s="521"/>
      <c r="C18" s="510"/>
      <c r="D18" s="510"/>
      <c r="E18" s="510"/>
      <c r="F18" s="510"/>
      <c r="G18" s="509"/>
      <c r="H18" s="511" t="str">
        <f>(IF(C18-G14&gt;0,1)+IF(D18-G15&gt;0,1)+IF(E18-G16&gt;0,1)+IF(F18-G17&gt;0,1))&amp;"-"&amp;(IF(C18-G14&lt;0,1)+IF(D18-G15&lt;0,1)+IF(E18-G16&lt;0,1)+IF(F18-G17&lt;0,1))</f>
        <v>0-0</v>
      </c>
      <c r="I18" s="510" t="str">
        <f>IF(AND(B18&lt;&gt;"",M$13=TRUE),A$13&amp;RANK(M18,M$14:M$18,0),"")</f>
        <v/>
      </c>
      <c r="J18" s="512">
        <f t="shared" si="2"/>
        <v>0</v>
      </c>
      <c r="K18" s="639">
        <f>IF(AND(J18=1,J14=1,C18&gt;G14),1)+IF(AND(J18=1,J15=1,D18&gt;G15),1)+IF(AND(J18=1,J16=1,E18&gt;G16),1)+IF(AND(J18=1,J17=1,F18&gt;G17),1)+IF(AND(J18=2,J14=2,C18&gt;G14),1)+IF(AND(J18=2,J15=2,D18&gt;G15),1)+IF(AND(J18=2,J16=2,E18&gt;G16),1)+IF(AND(J18=2,J17=2,F18&gt;G17),1)+IF(AND(J18=3,J14=3,C18&gt;G14),1)+IF(AND(J18=3,J15=3,D18&gt;G15),1)+IF(AND(J18=3,J16=3,E18&gt;G16),1)+IF(AND(J18=3,J17=3,F18&gt;G17),1)</f>
        <v>0</v>
      </c>
      <c r="L18" s="1305">
        <f>IF(AND(J18=1,J14=1),C18-G14)+IF(AND(J18=1,J15=1),D18-G15)+IF(AND(J18=1,J16=1),E18-G16)+IF(AND(J18=1,J17=1),F18-G17)+IF(AND(J18=2,J14=2),C18-G14)+IF(AND(J18=2,J15=2),D18-G15)+IF(AND(J18=2,J16=2),E18-G16)+IF(AND(J18=2,J17=2),F18-G17)+IF(AND(J18=3,J14=3),C18-G14)+IF(AND(J18=3,J15=3),D18-G15)+IF(AND(J18=3,J16=3),E18-G16)+IF(AND(J18=3,J17=3),F18-G17)</f>
        <v>0</v>
      </c>
      <c r="M18" s="515">
        <f t="shared" si="3"/>
        <v>0</v>
      </c>
      <c r="N18" s="668"/>
    </row>
    <row r="19" spans="1:14" s="506" customFormat="1" x14ac:dyDescent="0.2">
      <c r="A19" s="523"/>
      <c r="B19" s="524"/>
      <c r="C19" s="525"/>
      <c r="D19" s="526"/>
      <c r="E19" s="525"/>
      <c r="F19" s="527"/>
      <c r="H19" s="528"/>
      <c r="I19" s="529"/>
      <c r="J19" s="496"/>
      <c r="K19" s="537"/>
      <c r="L19" s="531"/>
      <c r="M19" s="496"/>
      <c r="N19" s="668"/>
    </row>
    <row r="20" spans="1:14" s="498" customFormat="1" x14ac:dyDescent="0.2">
      <c r="A20" s="500" t="s">
        <v>142</v>
      </c>
      <c r="B20" s="501"/>
      <c r="C20" s="502">
        <v>1</v>
      </c>
      <c r="D20" s="502">
        <v>2</v>
      </c>
      <c r="E20" s="502">
        <v>3</v>
      </c>
      <c r="F20" s="502">
        <v>4</v>
      </c>
      <c r="G20" s="502"/>
      <c r="H20" s="501" t="s">
        <v>363</v>
      </c>
      <c r="I20" s="501" t="s">
        <v>26</v>
      </c>
      <c r="J20" s="533" t="s">
        <v>156</v>
      </c>
      <c r="K20" s="504" t="s">
        <v>156</v>
      </c>
      <c r="L20" s="534" t="s">
        <v>364</v>
      </c>
      <c r="M20" s="535" t="b">
        <f>OR(AND(COUNTA(B21:B25)=3,COUNTA(C21:G25)=6),AND(COUNTA(B21:B25)=4,COUNTA(C21:G25)=12),AND(COUNTA(B21:B25)=5,COUNTA(C21:G25)=20))</f>
        <v>1</v>
      </c>
      <c r="N20" s="668"/>
    </row>
    <row r="21" spans="1:14" s="498" customFormat="1" x14ac:dyDescent="0.2">
      <c r="A21" s="500">
        <v>1</v>
      </c>
      <c r="B21" s="849" t="s">
        <v>95</v>
      </c>
      <c r="C21" s="509"/>
      <c r="D21" s="510">
        <v>11</v>
      </c>
      <c r="E21" s="510">
        <v>13</v>
      </c>
      <c r="F21" s="510">
        <v>13</v>
      </c>
      <c r="G21" s="510"/>
      <c r="H21" s="511" t="str">
        <f>(IF(D21-C22&gt;0,1)+IF(E21-C23&gt;0,1)+IF(F21-C24&gt;0,1)+IF(G21-C25&gt;0,1))&amp;"-"&amp;(IF(D21-C22&lt;0,1)+IF(E21-C23&lt;0,1)+IF(F21-C24&lt;0,1)+IF(G21-C25&lt;0,1))</f>
        <v>2-1</v>
      </c>
      <c r="I21" s="510" t="str">
        <f>IF(AND(B21&lt;&gt;"",M$20=TRUE),A$20&amp;RANK(M21,M$21:M$25,0),"")</f>
        <v>C2</v>
      </c>
      <c r="J21" s="512">
        <f>VALUE(LEFT(H21,1))</f>
        <v>2</v>
      </c>
      <c r="K21" s="513">
        <f>IF(AND(J21=1,J22=1,D21&gt;C22),1)+IF(AND(J21=1,J23=1,E21&gt;C23),1)+IF(AND(J21=1,J24=1,F21&gt;C24),1)+IF(AND(J21=1,J25=1,G21&gt;C25),1)+IF(AND(J21=2,J22=2,D21&gt;C22),1)+IF(AND(J21=2,J23=2,E21&gt;C23),1)+IF(AND(J21=2,J24=2,F21&gt;C24),1)+IF(AND(J21=2,J25=2,G21&gt;C25),1)+IF(AND(J21=3,J22=3,D21&gt;C22),1)+IF(AND(J21=3,J23=3,E21&gt;C23),1)+IF(AND(J21=3,J24=3,F21&gt;C24),1)+IF(AND(J21=3,J25=3,G21&gt;C25),1)</f>
        <v>0</v>
      </c>
      <c r="L21" s="1305"/>
      <c r="M21" s="515">
        <f>10000*J21+K21*100+L21</f>
        <v>20000</v>
      </c>
      <c r="N21" s="668"/>
    </row>
    <row r="22" spans="1:14" s="498" customFormat="1" x14ac:dyDescent="0.2">
      <c r="A22" s="500">
        <v>2</v>
      </c>
      <c r="B22" s="849" t="s">
        <v>102</v>
      </c>
      <c r="C22" s="510">
        <v>13</v>
      </c>
      <c r="D22" s="509"/>
      <c r="E22" s="510">
        <v>13</v>
      </c>
      <c r="F22" s="510">
        <v>13</v>
      </c>
      <c r="G22" s="510"/>
      <c r="H22" s="511" t="str">
        <f>(IF(C22-D21&gt;0,1)+IF(E22-D23&gt;0,1)+IF(F22-D24&gt;0,1)+IF(G22-D25&gt;0,1))&amp;"-"&amp;(IF(C22-D21&lt;0,1)+IF(E22-D23&lt;0,1)+IF(F22-D24&lt;0,1)+IF(G22-D25&lt;0,1))</f>
        <v>3-0</v>
      </c>
      <c r="I22" s="510" t="str">
        <f>IF(AND(B22&lt;&gt;"",M$20=TRUE),A$20&amp;RANK(M22,M$21:M$25,0),"")</f>
        <v>C1</v>
      </c>
      <c r="J22" s="512">
        <f t="shared" ref="J22:J25" si="4">VALUE(LEFT(H22,1))</f>
        <v>3</v>
      </c>
      <c r="K22" s="639">
        <f>IF(AND(J22=1,J21=1,C22&gt;D21),1)+IF(AND(J22=1,J23=1,E22&gt;D23),1)+IF(AND(J22=1,J24=1,F22&gt;D24),1)+IF(AND(J22=1,J25=1,G22&gt;D25),1)+IF(AND(J22=2,J21=2,C22&gt;D21),1)+IF(AND(J22=2,J23=2,E22&gt;D23),1)+IF(AND(J22=2,J24=2,F22&gt;D24),1)+IF(AND(J22=2,J25=2,G22&gt;D25),1)+IF(AND(J22=3,J21=3,C22&gt;D21),1)+IF(AND(J22=3,J23=3,E22&gt;D23),1)+IF(AND(J22=3,J24=3,F22&gt;D24),1)+IF(AND(J22=3,J25=3,G22&gt;D25),1)</f>
        <v>0</v>
      </c>
      <c r="L22" s="1305">
        <f>IF(AND(J22=1,J21=1),C22-D21)+IF(AND(J22=1,J23=1),E22-D23)+IF(AND(J22=1,J24=1),F22-D24)+IF(AND(J22=1,J25=1),G22-D25)+IF(AND(J22=2,J21=2),C22-D21)+IF(AND(J22=2,J23=2),E22-D23)+IF(AND(J22=2,J24=2),F22-D24)+IF(AND(J22=2,J25=2),G22-D25)+IF(AND(J22=3,J21=3),C22-D21)+IF(AND(J22=3,J23=3),E22-D23)+IF(AND(J22=3,J24=3),F22-D24)+IF(AND(J22=3,J25=3),G22-D25)</f>
        <v>0</v>
      </c>
      <c r="M22" s="515">
        <f t="shared" ref="M22:M25" si="5">10000*J22+K22*100+L22</f>
        <v>30000</v>
      </c>
      <c r="N22" s="668"/>
    </row>
    <row r="23" spans="1:14" s="498" customFormat="1" x14ac:dyDescent="0.2">
      <c r="A23" s="500">
        <v>3</v>
      </c>
      <c r="B23" s="518" t="s">
        <v>206</v>
      </c>
      <c r="C23" s="510">
        <v>8</v>
      </c>
      <c r="D23" s="520">
        <v>12</v>
      </c>
      <c r="E23" s="509"/>
      <c r="F23" s="510">
        <v>10</v>
      </c>
      <c r="G23" s="510"/>
      <c r="H23" s="511" t="str">
        <f>(IF(C23-E21&gt;0,1)+IF(D23-E22&gt;0,1)+IF(F23-E24&gt;0,1)+IF(G23-E25&gt;0,1))&amp;"-"&amp;(IF(C23-E21&lt;0,1)+IF(D23-E22&lt;0,1)+IF(F23-E24&lt;0,1)+IF(G23-E25&lt;0,1))</f>
        <v>0-3</v>
      </c>
      <c r="I23" s="510" t="str">
        <f>IF(AND(B23&lt;&gt;"",M$20=TRUE),A$20&amp;RANK(M23,M$21:M$25,0),"")</f>
        <v>C4</v>
      </c>
      <c r="J23" s="512">
        <f t="shared" si="4"/>
        <v>0</v>
      </c>
      <c r="K23" s="639">
        <f>IF(AND(J23=1,J21=1,C23&gt;E21),1)+IF(AND(J23=1,J22=1,D23&gt;E22),1)+IF(AND(J23=1,J24=1,F23&gt;E24),1)+IF(AND(J23=1,J25=1,G23&gt;E25),1)+IF(AND(J23=2,J21=2,C23&gt;E21),1)+IF(AND(J23=2,J22=2,D23&gt;E22),1)+IF(AND(J23=2,J24=2,F23&gt;E24),1)+IF(AND(J23=2,J25=2,G23&gt;E25),1)+IF(AND(J23=3,J21=3,C23&gt;E21),1)+IF(AND(J23=3,J22=3,D23&gt;E22),1)+IF(AND(J23=3,J24=3,F23&gt;E24),1)+IF(AND(J23=3,J25=3,G23&gt;E25),1)</f>
        <v>0</v>
      </c>
      <c r="L23" s="1305">
        <f>IF(AND(J23=1,J21=1),C23-E21)+IF(AND(J23=1,J22=1),D23-E22)+IF(AND(J23=1,J24=1),F23-E24)+IF(AND(J23=1,J25=1),G23-E25)+IF(AND(J23=2,J21=2),C23-E21)+IF(AND(J23=2,J22=2),D23-E22)+IF(AND(J23=2,J24=2),F23-E24)+IF(AND(J23=2,J25=2),G23-E25)+IF(AND(J23=3,J21=3),C23-E21)+IF(AND(J23=3,J22=3),D23-E22)+IF(AND(J23=3,J24=3),F23-E24)+IF(AND(J23=3,J25=3),G23-E25)</f>
        <v>0</v>
      </c>
      <c r="M23" s="515">
        <f t="shared" si="5"/>
        <v>0</v>
      </c>
      <c r="N23" s="668"/>
    </row>
    <row r="24" spans="1:14" s="498" customFormat="1" x14ac:dyDescent="0.2">
      <c r="A24" s="500">
        <v>4</v>
      </c>
      <c r="B24" s="518" t="s">
        <v>113</v>
      </c>
      <c r="C24" s="510">
        <v>7</v>
      </c>
      <c r="D24" s="520">
        <v>4</v>
      </c>
      <c r="E24" s="510">
        <v>13</v>
      </c>
      <c r="F24" s="509"/>
      <c r="G24" s="522"/>
      <c r="H24" s="511" t="str">
        <f>(IF(C24-F21&gt;0,1)+IF(D24-F22&gt;0,1)+IF(E24-F23&gt;0,1)+IF(G24-F25&gt;0,1))&amp;"-"&amp;(IF(C24-F21&lt;0,1)+IF(D24-F22&lt;0,1)+IF(E24-F23&lt;0,1)+IF(G24-F25&lt;0,1))</f>
        <v>1-2</v>
      </c>
      <c r="I24" s="510" t="str">
        <f>IF(AND(B24&lt;&gt;"",M$20=TRUE),A$20&amp;RANK(M24,M$21:M$25,0),"")</f>
        <v>C3</v>
      </c>
      <c r="J24" s="512">
        <f t="shared" si="4"/>
        <v>1</v>
      </c>
      <c r="K24" s="639">
        <f>IF(AND(J24=1,J21=1,C24&gt;F21),1)+IF(AND(J24=1,J22=1,D24&gt;F22),1)+IF(AND(J24=1,J23=1,E24&gt;F23),1)+IF(AND(J24=1,J25=1,G24&gt;F25),1)+IF(AND(J24=2,J21=2,C24&gt;F21),1)+IF(AND(J24=2,J22=2,D24&gt;F22),1)+IF(AND(J24=2,J23=2,E24&gt;F23),1)+IF(AND(J24=2,J25=2,G24&gt;F25),1)+IF(AND(J24=3,J21=3,C24&gt;F21),1)+IF(AND(J24=3,J22=3,D24&gt;F22),1)+IF(AND(J24=3,J23=3,E24&gt;F23),1)+IF(AND(J24=3,J25=3,G24&gt;F25),1)</f>
        <v>0</v>
      </c>
      <c r="L24" s="1305">
        <f>IF(AND(J24=1,J21=1),C24-F21)+IF(AND(J24=1,J22=1),D24-F22)+IF(AND(J24=1,J23=1),E24-F23)+IF(AND(J24=1,J25=1),G24-F25)+IF(AND(J24=2,J21=2),C24-F21)+IF(AND(J24=2,J22=2),D24-F22)+IF(AND(J24=2,J23=2),E24-F23)+IF(AND(J24=2,J25=2),G24-F25)+IF(AND(J24=3,J21=3),C24-F21)+IF(AND(J24=3,J22=3),D24-F22)+IF(AND(J24=3,J23=3),E24-F23)+IF(AND(J24=3,J25=3),G24-F25)</f>
        <v>0</v>
      </c>
      <c r="M24" s="515">
        <f t="shared" si="5"/>
        <v>10000</v>
      </c>
      <c r="N24" s="668"/>
    </row>
    <row r="25" spans="1:14" s="498" customFormat="1" hidden="1" x14ac:dyDescent="0.2">
      <c r="A25" s="500">
        <v>5</v>
      </c>
      <c r="B25" s="521"/>
      <c r="C25" s="510"/>
      <c r="D25" s="510"/>
      <c r="E25" s="510"/>
      <c r="F25" s="510"/>
      <c r="G25" s="509"/>
      <c r="H25" s="511" t="str">
        <f>(IF(C25-G21&gt;0,1)+IF(D25-G22&gt;0,1)+IF(E25-G23&gt;0,1)+IF(F25-G24&gt;0,1))&amp;"-"&amp;(IF(C25-G21&lt;0,1)+IF(D25-G22&lt;0,1)+IF(E25-G23&lt;0,1)+IF(F25-G24&lt;0,1))</f>
        <v>0-0</v>
      </c>
      <c r="I25" s="510" t="str">
        <f>IF(AND(B25&lt;&gt;"",M$20=TRUE),A$20&amp;RANK(M25,M$21:M$25,0),"")</f>
        <v/>
      </c>
      <c r="J25" s="512">
        <f t="shared" si="4"/>
        <v>0</v>
      </c>
      <c r="K25" s="639">
        <f>IF(AND(J25=1,J21=1,C25&gt;G21),1)+IF(AND(J25=1,J22=1,D25&gt;G22),1)+IF(AND(J25=1,J23=1,E25&gt;G23),1)+IF(AND(J25=1,J24=1,F25&gt;G24),1)+IF(AND(J25=2,J21=2,C25&gt;G21),1)+IF(AND(J25=2,J22=2,D25&gt;G22),1)+IF(AND(J25=2,J23=2,E25&gt;G23),1)+IF(AND(J25=2,J24=2,F25&gt;G24),1)+IF(AND(J25=3,J21=3,C25&gt;G21),1)+IF(AND(J25=3,J22=3,D25&gt;G22),1)+IF(AND(J25=3,J23=3,E25&gt;G23),1)+IF(AND(J25=3,J24=3,F25&gt;G24),1)</f>
        <v>0</v>
      </c>
      <c r="L25" s="514">
        <f>IF(AND(J25=1,J21=1),C25-G21)+IF(AND(J25=1,J22=1),D25-G22)+IF(AND(J25=1,J23=1),E25-G23)+IF(AND(J25=1,J24=1),F25-G24)+IF(AND(J25=2,J21=2),C25-G21)+IF(AND(J25=2,J22=2),D25-G22)+IF(AND(J25=2,J23=2),E25-G23)+IF(AND(J25=2,J24=2),F25-G24)+IF(AND(J25=3,J21=3),C25-G21)+IF(AND(J25=3,J22=3),D25-G22)+IF(AND(J25=3,J23=3),E25-G23)+IF(AND(J25=3,J24=3),F25-G24)</f>
        <v>0</v>
      </c>
      <c r="M25" s="515">
        <f t="shared" si="5"/>
        <v>0</v>
      </c>
      <c r="N25" s="668"/>
    </row>
    <row r="26" spans="1:14" s="498" customFormat="1" x14ac:dyDescent="0.2">
      <c r="A26" s="538"/>
      <c r="B26" s="539"/>
      <c r="C26" s="540"/>
      <c r="D26" s="540"/>
      <c r="E26" s="540"/>
      <c r="F26" s="641"/>
      <c r="G26" s="641"/>
      <c r="H26" s="541"/>
      <c r="I26" s="542"/>
      <c r="J26" s="642"/>
      <c r="K26" s="530"/>
      <c r="L26" s="643"/>
      <c r="M26" s="642"/>
      <c r="N26" s="668"/>
    </row>
    <row r="27" spans="1:14" s="506" customFormat="1" x14ac:dyDescent="0.2">
      <c r="A27" s="500" t="s">
        <v>143</v>
      </c>
      <c r="B27" s="501"/>
      <c r="C27" s="502">
        <v>1</v>
      </c>
      <c r="D27" s="502">
        <v>2</v>
      </c>
      <c r="E27" s="502">
        <v>3</v>
      </c>
      <c r="F27" s="502">
        <v>4</v>
      </c>
      <c r="G27" s="502">
        <v>5</v>
      </c>
      <c r="H27" s="501" t="s">
        <v>363</v>
      </c>
      <c r="I27" s="501" t="s">
        <v>26</v>
      </c>
      <c r="J27" s="533" t="s">
        <v>156</v>
      </c>
      <c r="K27" s="504" t="s">
        <v>156</v>
      </c>
      <c r="L27" s="534" t="s">
        <v>364</v>
      </c>
      <c r="M27" s="535" t="b">
        <f>OR(AND(COUNTA(B28:B32)=3,COUNTA(C28:G32)=6),AND(COUNTA(B28:B32)=4,COUNTA(C28:G32)=12),AND(COUNTA(B28:B32)=5,COUNTA(C28:G32)=20))</f>
        <v>1</v>
      </c>
      <c r="N27" s="668"/>
    </row>
    <row r="28" spans="1:14" s="506" customFormat="1" x14ac:dyDescent="0.2">
      <c r="A28" s="500">
        <v>1</v>
      </c>
      <c r="B28" s="850" t="s">
        <v>90</v>
      </c>
      <c r="C28" s="509"/>
      <c r="D28" s="510">
        <v>3</v>
      </c>
      <c r="E28" s="510">
        <v>13</v>
      </c>
      <c r="F28" s="852">
        <v>8</v>
      </c>
      <c r="G28" s="510">
        <v>13</v>
      </c>
      <c r="H28" s="855" t="str">
        <f>(IF(D28-C29&gt;0,1)+IF(E28-C30&gt;0,1)+IF(F28-C31&gt;0,1)+IF(G28-C32&gt;0,1))&amp;"-"&amp;(IF(D28-C29&lt;0,1)+IF(E28-C30&lt;0,1)+IF(F28-C31&lt;0,1)+IF(G28-C32&lt;0,1))</f>
        <v>2-2</v>
      </c>
      <c r="I28" s="510" t="str">
        <f>IF(AND(B28&lt;&gt;"",M$27=TRUE),A$27&amp;RANK(M28,M$28:M$32,0),"")</f>
        <v>D4</v>
      </c>
      <c r="J28" s="512">
        <f>VALUE(LEFT(H28,1))</f>
        <v>2</v>
      </c>
      <c r="K28" s="856">
        <v>0</v>
      </c>
      <c r="L28" s="1305"/>
      <c r="M28" s="515">
        <f>10000*J28+K28*100+L28</f>
        <v>20000</v>
      </c>
      <c r="N28" s="668"/>
    </row>
    <row r="29" spans="1:14" s="506" customFormat="1" x14ac:dyDescent="0.2">
      <c r="A29" s="500">
        <v>2</v>
      </c>
      <c r="B29" s="850" t="s">
        <v>99</v>
      </c>
      <c r="C29" s="510">
        <v>13</v>
      </c>
      <c r="D29" s="509"/>
      <c r="E29" s="851">
        <v>10</v>
      </c>
      <c r="F29" s="510">
        <v>13</v>
      </c>
      <c r="G29" s="510">
        <v>13</v>
      </c>
      <c r="H29" s="511" t="str">
        <f>(IF(C29-D28&gt;0,1)+IF(E29-D30&gt;0,1)+IF(F29-D31&gt;0,1)+IF(G29-D32&gt;0,1))&amp;"-"&amp;(IF(C29-D28&lt;0,1)+IF(E29-D30&lt;0,1)+IF(F29-D31&lt;0,1)+IF(G29-D32&lt;0,1))</f>
        <v>3-1</v>
      </c>
      <c r="I29" s="510" t="str">
        <f>IF(AND(B29&lt;&gt;"",M$27=TRUE),A$27&amp;RANK(M29,M$28:M$32,0),"")</f>
        <v>D2</v>
      </c>
      <c r="J29" s="512">
        <f t="shared" ref="J29:J32" si="6">VALUE(LEFT(H29,1))</f>
        <v>3</v>
      </c>
      <c r="K29" s="857">
        <v>0</v>
      </c>
      <c r="L29" s="1305"/>
      <c r="M29" s="515">
        <f t="shared" ref="M29:M32" si="7">10000*J29+K29*100+L29</f>
        <v>30000</v>
      </c>
      <c r="N29" s="668"/>
    </row>
    <row r="30" spans="1:14" s="506" customFormat="1" x14ac:dyDescent="0.2">
      <c r="A30" s="500">
        <v>3</v>
      </c>
      <c r="B30" s="850" t="s">
        <v>107</v>
      </c>
      <c r="C30" s="510">
        <v>2</v>
      </c>
      <c r="D30" s="854">
        <v>13</v>
      </c>
      <c r="E30" s="509"/>
      <c r="F30" s="510">
        <v>13</v>
      </c>
      <c r="G30" s="510">
        <v>13</v>
      </c>
      <c r="H30" s="511" t="str">
        <f>(IF(C30-E28&gt;0,1)+IF(D30-E29&gt;0,1)+IF(F30-E31&gt;0,1)+IF(G30-E32&gt;0,1))&amp;"-"&amp;(IF(C30-E28&lt;0,1)+IF(D30-E29&lt;0,1)+IF(F30-E31&lt;0,1)+IF(G30-E32&lt;0,1))</f>
        <v>3-1</v>
      </c>
      <c r="I30" s="510" t="str">
        <f>IF(AND(B30&lt;&gt;"",M$27=TRUE),A$27&amp;RANK(M30,M$28:M$32,0),"")</f>
        <v>D1</v>
      </c>
      <c r="J30" s="512">
        <f t="shared" si="6"/>
        <v>3</v>
      </c>
      <c r="K30" s="639">
        <f>IF(AND(J30=1,J28=1,C30&gt;E28),1)+IF(AND(J30=1,J29=1,D30&gt;E29),1)+IF(AND(J30=1,J31=1,F30&gt;E31),1)+IF(AND(J30=1,J32=1,G30&gt;E32),1)+IF(AND(J30=2,J28=2,C30&gt;E28),1)+IF(AND(J30=2,J29=2,D30&gt;E29),1)+IF(AND(J30=2,J31=2,F30&gt;E31),1)+IF(AND(J30=2,J32=2,G30&gt;E32),1)+IF(AND(J30=3,J28=3,C30&gt;E28),1)+IF(AND(J30=3,J29=3,D30&gt;E29),1)+IF(AND(J30=3,J31=3,F30&gt;E31),1)+IF(AND(J30=3,J32=3,G30&gt;E32),1)</f>
        <v>1</v>
      </c>
      <c r="L30" s="1305"/>
      <c r="M30" s="515">
        <f t="shared" si="7"/>
        <v>30100</v>
      </c>
      <c r="N30" s="668"/>
    </row>
    <row r="31" spans="1:14" s="506" customFormat="1" x14ac:dyDescent="0.2">
      <c r="A31" s="500">
        <v>4</v>
      </c>
      <c r="B31" s="521" t="s">
        <v>105</v>
      </c>
      <c r="C31" s="852">
        <v>13</v>
      </c>
      <c r="D31" s="520">
        <v>3</v>
      </c>
      <c r="E31" s="510">
        <v>8</v>
      </c>
      <c r="F31" s="509"/>
      <c r="G31" s="522">
        <v>13</v>
      </c>
      <c r="H31" s="855" t="str">
        <f>(IF(C31-F28&gt;0,1)+IF(D31-F29&gt;0,1)+IF(E31-F30&gt;0,1)+IF(G31-F32&gt;0,1))&amp;"-"&amp;(IF(C31-F28&lt;0,1)+IF(D31-F29&lt;0,1)+IF(E31-F30&lt;0,1)+IF(G31-F32&lt;0,1))</f>
        <v>2-2</v>
      </c>
      <c r="I31" s="510" t="str">
        <f>IF(AND(B31&lt;&gt;"",M$27=TRUE),A$27&amp;RANK(M31,M$28:M$32,0),"")</f>
        <v>D3</v>
      </c>
      <c r="J31" s="512">
        <f t="shared" si="6"/>
        <v>2</v>
      </c>
      <c r="K31" s="857">
        <f>IF(AND(J31=1,J28=1,C31&gt;F28),1)+IF(AND(J31=1,J29=1,D31&gt;F29),1)+IF(AND(J31=1,J30=1,E31&gt;F30),1)+IF(AND(J31=1,J32=1,G31&gt;F32),1)+IF(AND(J31=2,J28=2,C31&gt;F28),1)+IF(AND(J31=2,J29=2,D31&gt;F29),1)+IF(AND(J31=2,J30=2,E31&gt;F30),1)+IF(AND(J31=2,J32=2,G31&gt;F32),1)+IF(AND(J31=3,J28=3,C31&gt;F28),1)+IF(AND(J31=3,J29=3,D31&gt;F29),1)+IF(AND(J31=3,J30=3,E31&gt;F30),1)+IF(AND(J31=3,J32=3,G31&gt;F32),1)</f>
        <v>1</v>
      </c>
      <c r="L31" s="1305"/>
      <c r="M31" s="515">
        <f t="shared" si="7"/>
        <v>20100</v>
      </c>
      <c r="N31" s="668"/>
    </row>
    <row r="32" spans="1:14" s="506" customFormat="1" x14ac:dyDescent="0.2">
      <c r="A32" s="500">
        <v>5</v>
      </c>
      <c r="B32" s="521" t="s">
        <v>210</v>
      </c>
      <c r="C32" s="510">
        <v>3</v>
      </c>
      <c r="D32" s="510">
        <v>5</v>
      </c>
      <c r="E32" s="510">
        <v>12</v>
      </c>
      <c r="F32" s="510">
        <v>2</v>
      </c>
      <c r="G32" s="509"/>
      <c r="H32" s="511" t="str">
        <f>(IF(C32-G28&gt;0,1)+IF(D32-G29&gt;0,1)+IF(E32-G30&gt;0,1)+IF(F32-G31&gt;0,1))&amp;"-"&amp;(IF(C32-G28&lt;0,1)+IF(D32-G29&lt;0,1)+IF(E32-G30&lt;0,1)+IF(F32-G31&lt;0,1))</f>
        <v>0-4</v>
      </c>
      <c r="I32" s="510" t="str">
        <f>IF(AND(B32&lt;&gt;"",M$27=TRUE),A$27&amp;RANK(M32,M$28:M$32,0),"")</f>
        <v>D5</v>
      </c>
      <c r="J32" s="512">
        <f t="shared" si="6"/>
        <v>0</v>
      </c>
      <c r="K32" s="639">
        <f>IF(AND(J32=1,J28=1,C32&gt;G28),1)+IF(AND(J32=1,J29=1,D32&gt;G29),1)+IF(AND(J32=1,J30=1,E32&gt;G30),1)+IF(AND(J32=1,J31=1,F32&gt;G31),1)+IF(AND(J32=2,J28=2,C32&gt;G28),1)+IF(AND(J32=2,J29=2,D32&gt;G29),1)+IF(AND(J32=2,J30=2,E32&gt;G30),1)+IF(AND(J32=2,J31=2,F32&gt;G31),1)+IF(AND(J32=3,J28=3,C32&gt;G28),1)+IF(AND(J32=3,J29=3,D32&gt;G29),1)+IF(AND(J32=3,J30=3,E32&gt;G30),1)+IF(AND(J32=3,J31=3,F32&gt;G31),1)</f>
        <v>0</v>
      </c>
      <c r="L32" s="1305">
        <f>IF(AND(J32=1,J28=1),C32-G28)+IF(AND(J32=1,J29=1),D32-G29)+IF(AND(J32=1,J30=1),E32-G30)+IF(AND(J32=1,J31=1),F32-G31)+IF(AND(J32=2,J28=2),C32-G28)+IF(AND(J32=2,J29=2),D32-G29)+IF(AND(J32=2,J30=2),E32-G30)+IF(AND(J32=2,J31=2),F32-G31)+IF(AND(J32=3,J28=3),C32-G28)+IF(AND(J32=3,J29=3),D32-G29)+IF(AND(J32=3,J30=3),E32-G30)+IF(AND(J32=3,J31=3),F32-G31)</f>
        <v>0</v>
      </c>
      <c r="M32" s="515">
        <f t="shared" si="7"/>
        <v>0</v>
      </c>
      <c r="N32" s="668"/>
    </row>
    <row r="33" spans="1:14" s="506" customFormat="1" hidden="1" x14ac:dyDescent="0.2">
      <c r="A33" s="523"/>
      <c r="F33" s="545"/>
      <c r="H33" s="546"/>
      <c r="I33" s="547"/>
      <c r="J33" s="535"/>
      <c r="K33" s="542"/>
      <c r="L33" s="548"/>
      <c r="M33" s="535"/>
      <c r="N33" s="668"/>
    </row>
    <row r="34" spans="1:14" s="506" customFormat="1" hidden="1" x14ac:dyDescent="0.2">
      <c r="A34" s="500" t="s">
        <v>144</v>
      </c>
      <c r="B34" s="501"/>
      <c r="C34" s="502">
        <v>1</v>
      </c>
      <c r="D34" s="502">
        <v>2</v>
      </c>
      <c r="E34" s="502">
        <v>3</v>
      </c>
      <c r="F34" s="502">
        <v>4</v>
      </c>
      <c r="G34" s="502">
        <v>5</v>
      </c>
      <c r="H34" s="502" t="s">
        <v>363</v>
      </c>
      <c r="I34" s="501" t="s">
        <v>26</v>
      </c>
      <c r="J34" s="503" t="s">
        <v>156</v>
      </c>
      <c r="K34" s="504" t="s">
        <v>156</v>
      </c>
      <c r="L34" s="505" t="s">
        <v>364</v>
      </c>
      <c r="M34" s="506" t="b">
        <f>OR(AND(COUNTA(B35:B39)=3,COUNTA(C35:G39)=6),AND(COUNTA(B35:B39)=4,COUNTA(C35:G39)=12),AND(COUNTA(B35:B39)=5,COUNTA(C35:G39)=20))</f>
        <v>0</v>
      </c>
      <c r="N34" s="668"/>
    </row>
    <row r="35" spans="1:14" s="506" customFormat="1" hidden="1" x14ac:dyDescent="0.2">
      <c r="A35" s="500">
        <v>1</v>
      </c>
      <c r="B35" s="508"/>
      <c r="C35" s="509"/>
      <c r="D35" s="510"/>
      <c r="E35" s="510"/>
      <c r="F35" s="510"/>
      <c r="G35" s="510"/>
      <c r="H35" s="511" t="str">
        <f>(IF(D35-C36&gt;0,1)+IF(E35-C37&gt;0,1)+IF(F35-C38&gt;0,1)+IF(G35-C39&gt;0,1))&amp;"-"&amp;(IF(D35-C36&lt;0,1)+IF(E35-C37&lt;0,1)+IF(F35-C38&lt;0,1)+IF(G35-C39&lt;0,1))</f>
        <v>0-0</v>
      </c>
      <c r="I35" s="510" t="str">
        <f>IF(AND(B35&lt;&gt;"",M$35=TRUE),A$35&amp;RANK(M35,M$36:M$40,0),"")</f>
        <v/>
      </c>
      <c r="J35" s="512">
        <f>VALUE(LEFT(H35,1))</f>
        <v>0</v>
      </c>
      <c r="K35" s="513">
        <f>IF(AND(J35=1,J36=1,D35&gt;C36),1)+IF(AND(J35=1,J37=1,E35&gt;C37),1)+IF(AND(J35=1,J38=1,F35&gt;C38),1)+IF(AND(J35=1,J39=1,G35&gt;C39),1)+IF(AND(J35=2,J36=2,D35&gt;C36),1)+IF(AND(J35=2,J37=2,E35&gt;C37),1)+IF(AND(J35=2,J38=2,F35&gt;C38),1)+IF(AND(J35=2,J39=2,G35&gt;C39),1)+IF(AND(J35=3,J36=3,D35&gt;C36),1)+IF(AND(J35=3,J37=3,E35&gt;C37),1)+IF(AND(J35=3,J38=3,F35&gt;C38),1)+IF(AND(J35=3,J39=3,G35&gt;C39),1)</f>
        <v>0</v>
      </c>
      <c r="L35" s="1305">
        <f>IF(AND(J35=1,J36=1),D35-C36)+IF(AND(J35=1,J37=1),E35-C37)+IF(AND(J35=1,J38=1),F35-C38)+IF(AND(J35=1,J39=1),G35-C39)+IF(AND(J35=2,J36=2),D35-C36)+IF(AND(J35=2,J37=2),E35-C37)+IF(AND(J35=2,J38=2),F35-C38)+IF(AND(J35=2,J39=2),G35-C39)+IF(AND(J35=3,J36=3),D35-C36)+IF(AND(J35=3,J37=3),E35-C37)+IF(AND(J35=3,J38=3),F35-C38)+IF(AND(J35=3,J39=3),G35-C39)</f>
        <v>0</v>
      </c>
      <c r="M35" s="515">
        <f>10000*J35+K35*100+L35</f>
        <v>0</v>
      </c>
      <c r="N35" s="668"/>
    </row>
    <row r="36" spans="1:14" s="506" customFormat="1" hidden="1" x14ac:dyDescent="0.2">
      <c r="A36" s="500">
        <v>2</v>
      </c>
      <c r="B36" s="518"/>
      <c r="C36" s="510"/>
      <c r="D36" s="509"/>
      <c r="E36" s="510"/>
      <c r="F36" s="510"/>
      <c r="G36" s="510"/>
      <c r="H36" s="511" t="str">
        <f>(IF(C36-D35&gt;0,1)+IF(E36-D37&gt;0,1)+IF(F36-D38&gt;0,1)+IF(G36-D39&gt;0,1))&amp;"-"&amp;(IF(C36-D35&lt;0,1)+IF(E36-D37&lt;0,1)+IF(F36-D38&lt;0,1)+IF(G36-D39&lt;0,1))</f>
        <v>0-0</v>
      </c>
      <c r="I36" s="510" t="str">
        <f>IF(AND(B36&lt;&gt;"",M$35=TRUE),A$35&amp;RANK(M36,M$36:M$40,0),"")</f>
        <v/>
      </c>
      <c r="J36" s="512">
        <f t="shared" ref="J36:J39" si="8">VALUE(LEFT(H36,1))</f>
        <v>0</v>
      </c>
      <c r="K36" s="639">
        <f>IF(AND(J36=1,J35=1,C36&gt;D35),1)+IF(AND(J36=1,J37=1,E36&gt;D37),1)+IF(AND(J36=1,J38=1,F36&gt;D38),1)+IF(AND(J36=1,J39=1,G36&gt;D39),1)+IF(AND(J36=2,J35=2,C36&gt;D35),1)+IF(AND(J36=2,J37=2,E36&gt;D37),1)+IF(AND(J36=2,J38=2,F36&gt;D38),1)+IF(AND(J36=2,J39=2,G36&gt;D39),1)+IF(AND(J36=3,J35=3,C36&gt;D35),1)+IF(AND(J36=3,J37=3,E36&gt;D37),1)+IF(AND(J36=3,J38=3,F36&gt;D38),1)+IF(AND(J36=3,J39=3,G36&gt;D39),1)</f>
        <v>0</v>
      </c>
      <c r="L36" s="1305">
        <f>IF(AND(J36=1,J35=1),C36-D35)+IF(AND(J36=1,J37=1),E36-D37)+IF(AND(J36=1,J38=1),F36-D38)+IF(AND(J36=1,J39=1),G36-D39)+IF(AND(J36=2,J35=2),C36-D35)+IF(AND(J36=2,J37=2),E36-D37)+IF(AND(J36=2,J38=2),F36-D38)+IF(AND(J36=2,J39=2),G36-D39)+IF(AND(J36=3,J35=3),C36-D35)+IF(AND(J36=3,J37=3),E36-D37)+IF(AND(J36=3,J38=3),F36-D38)+IF(AND(J36=3,J39=3),G36-D39)</f>
        <v>0</v>
      </c>
      <c r="M36" s="515">
        <f t="shared" ref="M36:M39" si="9">10000*J36+K36*100+L36</f>
        <v>0</v>
      </c>
      <c r="N36" s="668"/>
    </row>
    <row r="37" spans="1:14" s="506" customFormat="1" hidden="1" x14ac:dyDescent="0.2">
      <c r="A37" s="500">
        <v>3</v>
      </c>
      <c r="B37" s="518"/>
      <c r="C37" s="510"/>
      <c r="D37" s="520"/>
      <c r="E37" s="509"/>
      <c r="F37" s="510"/>
      <c r="G37" s="510"/>
      <c r="H37" s="511" t="str">
        <f>(IF(C37-E35&gt;0,1)+IF(D37-E36&gt;0,1)+IF(F37-E38&gt;0,1)+IF(G37-E39&gt;0,1))&amp;"-"&amp;(IF(C37-E35&lt;0,1)+IF(D37-E36&lt;0,1)+IF(F37-E38&lt;0,1)+IF(G37-E39&lt;0,1))</f>
        <v>0-0</v>
      </c>
      <c r="I37" s="510" t="str">
        <f>IF(AND(B37&lt;&gt;"",M$35=TRUE),A$35&amp;RANK(M37,M$36:M$40,0),"")</f>
        <v/>
      </c>
      <c r="J37" s="512">
        <f t="shared" si="8"/>
        <v>0</v>
      </c>
      <c r="K37" s="639">
        <f>IF(AND(J37=1,J35=1,C37&gt;E35),1)+IF(AND(J37=1,J36=1,D37&gt;E36),1)+IF(AND(J37=1,J38=1,F37&gt;E38),1)+IF(AND(J37=1,J39=1,G37&gt;E39),1)+IF(AND(J37=2,J35=2,C37&gt;E35),1)+IF(AND(J37=2,J36=2,D37&gt;E36),1)+IF(AND(J37=2,J38=2,F37&gt;E38),1)+IF(AND(J37=2,J39=2,G37&gt;E39),1)+IF(AND(J37=3,J35=3,C37&gt;E35),1)+IF(AND(J37=3,J36=3,D37&gt;E36),1)+IF(AND(J37=3,J38=3,F37&gt;E38),1)+IF(AND(J37=3,J39=3,G37&gt;E39),1)</f>
        <v>0</v>
      </c>
      <c r="L37" s="1305">
        <f>IF(AND(J37=1,J35=1),C37-E35)+IF(AND(J37=1,J36=1),D37-E36)+IF(AND(J37=1,J38=1),F37-E38)+IF(AND(J37=1,J39=1),G37-E39)+IF(AND(J37=2,J35=2),C37-E35)+IF(AND(J37=2,J36=2),D37-E36)+IF(AND(J37=2,J38=2),F37-E38)+IF(AND(J37=2,J39=2),G37-E39)+IF(AND(J37=3,J35=3),C37-E35)+IF(AND(J37=3,J36=3),D37-E36)+IF(AND(J37=3,J38=3),F37-E38)+IF(AND(J37=3,J39=3),G37-E39)</f>
        <v>0</v>
      </c>
      <c r="M37" s="515">
        <f t="shared" si="9"/>
        <v>0</v>
      </c>
      <c r="N37" s="668"/>
    </row>
    <row r="38" spans="1:14" s="506" customFormat="1" hidden="1" x14ac:dyDescent="0.2">
      <c r="A38" s="500">
        <v>4</v>
      </c>
      <c r="B38" s="521"/>
      <c r="C38" s="510"/>
      <c r="D38" s="520"/>
      <c r="E38" s="510"/>
      <c r="F38" s="509"/>
      <c r="G38" s="522"/>
      <c r="H38" s="511" t="str">
        <f>(IF(C38-F35&gt;0,1)+IF(D38-F36&gt;0,1)+IF(E38-F37&gt;0,1)+IF(G38-F39&gt;0,1))&amp;"-"&amp;(IF(C38-F35&lt;0,1)+IF(D38-F36&lt;0,1)+IF(E38-F37&lt;0,1)+IF(G38-F39&lt;0,1))</f>
        <v>0-0</v>
      </c>
      <c r="I38" s="510" t="str">
        <f>IF(AND(B38&lt;&gt;"",M$35=TRUE),A$35&amp;RANK(M38,M$36:M$40,0),"")</f>
        <v/>
      </c>
      <c r="J38" s="512">
        <f t="shared" si="8"/>
        <v>0</v>
      </c>
      <c r="K38" s="639">
        <f>IF(AND(J38=1,J35=1,C38&gt;F35),1)+IF(AND(J38=1,J36=1,D38&gt;F36),1)+IF(AND(J38=1,J37=1,E38&gt;F37),1)+IF(AND(J38=1,J39=1,G38&gt;F39),1)+IF(AND(J38=2,J35=2,C38&gt;F35),1)+IF(AND(J38=2,J36=2,D38&gt;F36),1)+IF(AND(J38=2,J37=2,E38&gt;F37),1)+IF(AND(J38=2,J39=2,G38&gt;F39),1)+IF(AND(J38=3,J35=3,C38&gt;F35),1)+IF(AND(J38=3,J36=3,D38&gt;F36),1)+IF(AND(J38=3,J37=3,E38&gt;F37),1)+IF(AND(J38=3,J39=3,G38&gt;F39),1)</f>
        <v>0</v>
      </c>
      <c r="L38" s="1305">
        <f>IF(AND(J38=1,J35=1),C38-F35)+IF(AND(J38=1,J36=1),D38-F36)+IF(AND(J38=1,J37=1),E38-F37)+IF(AND(J38=1,J39=1),G38-F39)+IF(AND(J38=2,J35=2),C38-F35)+IF(AND(J38=2,J36=2),D38-F36)+IF(AND(J38=2,J37=2),E38-F37)+IF(AND(J38=2,J39=2),G38-F39)+IF(AND(J38=3,J35=3),C38-F35)+IF(AND(J38=3,J36=3),D38-F36)+IF(AND(J38=3,J37=3),E38-F37)+IF(AND(J38=3,J39=3),G38-F39)</f>
        <v>0</v>
      </c>
      <c r="M38" s="515">
        <f t="shared" si="9"/>
        <v>0</v>
      </c>
      <c r="N38" s="668"/>
    </row>
    <row r="39" spans="1:14" s="506" customFormat="1" hidden="1" x14ac:dyDescent="0.2">
      <c r="A39" s="500">
        <v>5</v>
      </c>
      <c r="B39" s="521"/>
      <c r="C39" s="510"/>
      <c r="D39" s="510"/>
      <c r="E39" s="510"/>
      <c r="F39" s="510"/>
      <c r="G39" s="509"/>
      <c r="H39" s="511" t="str">
        <f>(IF(C39-G35&gt;0,1)+IF(D39-G36&gt;0,1)+IF(E39-G37&gt;0,1)+IF(F39-G38&gt;0,1))&amp;"-"&amp;(IF(C39-G35&lt;0,1)+IF(D39-G36&lt;0,1)+IF(E39-G37&lt;0,1)+IF(F39-G38&lt;0,1))</f>
        <v>0-0</v>
      </c>
      <c r="I39" s="510" t="str">
        <f>IF(AND(B39&lt;&gt;"",M$35=TRUE),A$35&amp;RANK(M39,M$36:M$40,0),"")</f>
        <v/>
      </c>
      <c r="J39" s="512">
        <f t="shared" si="8"/>
        <v>0</v>
      </c>
      <c r="K39" s="639">
        <f>IF(AND(J39=1,J35=1,C39&gt;G35),1)+IF(AND(J39=1,J36=1,D39&gt;G36),1)+IF(AND(J39=1,J37=1,E39&gt;G37),1)+IF(AND(J39=1,J38=1,F39&gt;G38),1)+IF(AND(J39=2,J35=2,C39&gt;G35),1)+IF(AND(J39=2,J36=2,D39&gt;G36),1)+IF(AND(J39=2,J37=2,E39&gt;G37),1)+IF(AND(J39=2,J38=2,F39&gt;G38),1)+IF(AND(J39=3,J35=3,C39&gt;G35),1)+IF(AND(J39=3,J36=3,D39&gt;G36),1)+IF(AND(J39=3,J37=3,E39&gt;G37),1)+IF(AND(J39=3,J38=3,F39&gt;G38),1)</f>
        <v>0</v>
      </c>
      <c r="L39" s="1305">
        <f>IF(AND(J39=1,J35=1),C39-G35)+IF(AND(J39=1,J36=1),D39-G36)+IF(AND(J39=1,J37=1),E39-G37)+IF(AND(J39=1,J38=1),F39-G38)+IF(AND(J39=2,J35=2),C39-G35)+IF(AND(J39=2,J36=2),D39-G36)+IF(AND(J39=2,J37=2),E39-G37)+IF(AND(J39=2,J38=2),F39-G38)+IF(AND(J39=3,J35=3),C39-G35)+IF(AND(J39=3,J36=3),D39-G36)+IF(AND(J39=3,J37=3),E39-G37)+IF(AND(J39=3,J38=3),F39-G38)</f>
        <v>0</v>
      </c>
      <c r="M39" s="515">
        <f t="shared" si="9"/>
        <v>0</v>
      </c>
      <c r="N39" s="668"/>
    </row>
    <row r="40" spans="1:14" s="506" customFormat="1" hidden="1" x14ac:dyDescent="0.2">
      <c r="A40" s="523"/>
      <c r="B40" s="524"/>
      <c r="C40" s="525"/>
      <c r="D40" s="526"/>
      <c r="E40" s="525"/>
      <c r="F40" s="527"/>
      <c r="H40" s="528"/>
      <c r="I40" s="529"/>
      <c r="J40" s="496"/>
      <c r="K40" s="530"/>
      <c r="L40" s="531"/>
      <c r="M40" s="496"/>
      <c r="N40" s="668"/>
    </row>
    <row r="41" spans="1:14" s="498" customFormat="1" hidden="1" x14ac:dyDescent="0.2">
      <c r="A41" s="500" t="s">
        <v>145</v>
      </c>
      <c r="B41" s="501"/>
      <c r="C41" s="502">
        <v>1</v>
      </c>
      <c r="D41" s="502">
        <v>2</v>
      </c>
      <c r="E41" s="502">
        <v>3</v>
      </c>
      <c r="F41" s="502">
        <v>4</v>
      </c>
      <c r="G41" s="502"/>
      <c r="H41" s="501" t="s">
        <v>363</v>
      </c>
      <c r="I41" s="501" t="s">
        <v>26</v>
      </c>
      <c r="J41" s="533" t="s">
        <v>156</v>
      </c>
      <c r="K41" s="504" t="s">
        <v>156</v>
      </c>
      <c r="L41" s="534" t="s">
        <v>364</v>
      </c>
      <c r="M41" s="535" t="b">
        <f>OR(AND(COUNTA(B42:B46)=3,COUNTA(C42:G46)=6),AND(COUNTA(B42:B46)=4,COUNTA(C42:G46)=12),AND(COUNTA(B42:B46)=5,COUNTA(C42:G46)=20))</f>
        <v>0</v>
      </c>
      <c r="N41" s="668"/>
    </row>
    <row r="42" spans="1:14" s="498" customFormat="1" hidden="1" x14ac:dyDescent="0.2">
      <c r="A42" s="500">
        <v>1</v>
      </c>
      <c r="B42" s="508"/>
      <c r="C42" s="509"/>
      <c r="D42" s="510"/>
      <c r="E42" s="510"/>
      <c r="F42" s="510"/>
      <c r="G42" s="510"/>
      <c r="H42" s="511" t="str">
        <f>(IF(D42-C43&gt;0,1)+IF(E42-C44&gt;0,1)+IF(F42-C45&gt;0,1)+IF(G42-C46&gt;0,1))&amp;"-"&amp;(IF(D42-C43&lt;0,1)+IF(E42-C44&lt;0,1)+IF(F42-C45&lt;0,1)+IF(G42-C46&lt;0,1))</f>
        <v>0-0</v>
      </c>
      <c r="I42" s="510" t="str">
        <f>IF(AND(B42&lt;&gt;"",M$42=TRUE),A$42&amp;RANK(M42,M$43:VM$47,0),"")</f>
        <v/>
      </c>
      <c r="J42" s="512">
        <f>VALUE(LEFT(H42,1))</f>
        <v>0</v>
      </c>
      <c r="K42" s="513">
        <f>IF(AND(J42=1,J43=1,D42&gt;C43),1)+IF(AND(J42=1,J44=1,E42&gt;C44),1)+IF(AND(J42=1,J45=1,F42&gt;C45),1)+IF(AND(J42=1,J46=1,G42&gt;C46),1)+IF(AND(J42=2,J43=2,D42&gt;C43),1)+IF(AND(J42=2,J44=2,E42&gt;C44),1)+IF(AND(J42=2,J45=2,F42&gt;C45),1)+IF(AND(J42=2,J46=2,G42&gt;C46),1)+IF(AND(J42=3,J43=3,D42&gt;C43),1)+IF(AND(J42=3,J44=3,E42&gt;C44),1)+IF(AND(J42=3,J45=3,F42&gt;C45),1)+IF(AND(J42=3,J46=3,G42&gt;C46),1)</f>
        <v>0</v>
      </c>
      <c r="L42" s="1305">
        <f>IF(AND(J42=1,J43=1),D42-C43)+IF(AND(J42=1,J44=1),E42-C44)+IF(AND(J42=1,J45=1),F42-C45)+IF(AND(J42=1,J46=1),G42-C46)+IF(AND(J42=2,J43=2),D42-C43)+IF(AND(J42=2,J44=2),E42-C44)+IF(AND(J42=2,J45=2),F42-C45)+IF(AND(J42=2,J46=2),G42-C46)+IF(AND(J42=3,J43=3),D42-C43)+IF(AND(J42=3,J44=3),E42-C44)+IF(AND(J42=3,J45=3),F42-C45)+IF(AND(J42=3,J46=3),G42-C46)</f>
        <v>0</v>
      </c>
      <c r="M42" s="515">
        <f>10000*J42+K42*100+L42</f>
        <v>0</v>
      </c>
      <c r="N42" s="668"/>
    </row>
    <row r="43" spans="1:14" s="498" customFormat="1" hidden="1" x14ac:dyDescent="0.2">
      <c r="A43" s="500">
        <v>2</v>
      </c>
      <c r="B43" s="518"/>
      <c r="C43" s="510"/>
      <c r="D43" s="509"/>
      <c r="E43" s="510"/>
      <c r="F43" s="510"/>
      <c r="G43" s="510"/>
      <c r="H43" s="511" t="str">
        <f>(IF(C43-D42&gt;0,1)+IF(E43-D44&gt;0,1)+IF(F43-D45&gt;0,1)+IF(G43-D46&gt;0,1))&amp;"-"&amp;(IF(C43-D42&lt;0,1)+IF(E43-D44&lt;0,1)+IF(F43-D45&lt;0,1)+IF(G43-D46&lt;0,1))</f>
        <v>0-0</v>
      </c>
      <c r="I43" s="510" t="str">
        <f>IF(AND(B43&lt;&gt;"",M$42=TRUE),A$42&amp;RANK(M43,M$43:VM$47,0),"")</f>
        <v/>
      </c>
      <c r="J43" s="512">
        <f t="shared" ref="J43:J46" si="10">VALUE(LEFT(H43,1))</f>
        <v>0</v>
      </c>
      <c r="K43" s="639">
        <f>IF(AND(J43=1,J42=1,C43&gt;D42),1)+IF(AND(J43=1,J44=1,E43&gt;D44),1)+IF(AND(J43=1,J45=1,F43&gt;D45),1)+IF(AND(J43=1,J46=1,G43&gt;D46),1)+IF(AND(J43=2,J42=2,C43&gt;D42),1)+IF(AND(J43=2,J44=2,E43&gt;D44),1)+IF(AND(J43=2,J45=2,F43&gt;D45),1)+IF(AND(J43=2,J46=2,G43&gt;D46),1)+IF(AND(J43=3,J42=3,C43&gt;D42),1)+IF(AND(J43=3,J44=3,E43&gt;D44),1)+IF(AND(J43=3,J45=3,F43&gt;D45),1)+IF(AND(J43=3,J46=3,G43&gt;D46),1)</f>
        <v>0</v>
      </c>
      <c r="L43" s="1305">
        <f>IF(AND(J43=1,J42=1),C43-D42)+IF(AND(J43=1,J44=1),E43-D44)+IF(AND(J43=1,J45=1),F43-D45)+IF(AND(J43=1,J46=1),G43-D46)+IF(AND(J43=2,J42=2),C43-D42)+IF(AND(J43=2,J44=2),E43-D44)+IF(AND(J43=2,J45=2),F43-D45)+IF(AND(J43=2,J46=2),G43-D46)+IF(AND(J43=3,J42=3),C43-D42)+IF(AND(J43=3,J44=3),E43-D44)+IF(AND(J43=3,J45=3),F43-D45)+IF(AND(J43=3,J46=3),G43-D46)</f>
        <v>0</v>
      </c>
      <c r="M43" s="515">
        <f t="shared" ref="M43:M46" si="11">10000*J43+K43*100+L43</f>
        <v>0</v>
      </c>
      <c r="N43" s="668"/>
    </row>
    <row r="44" spans="1:14" s="498" customFormat="1" hidden="1" x14ac:dyDescent="0.2">
      <c r="A44" s="500">
        <v>3</v>
      </c>
      <c r="B44" s="518"/>
      <c r="C44" s="510"/>
      <c r="D44" s="520"/>
      <c r="E44" s="509"/>
      <c r="F44" s="510"/>
      <c r="G44" s="510"/>
      <c r="H44" s="511" t="str">
        <f>(IF(C44-E42&gt;0,1)+IF(D44-E43&gt;0,1)+IF(F44-E45&gt;0,1)+IF(G44-E46&gt;0,1))&amp;"-"&amp;(IF(C44-E42&lt;0,1)+IF(D44-E43&lt;0,1)+IF(F44-E45&lt;0,1)+IF(G44-E46&lt;0,1))</f>
        <v>0-0</v>
      </c>
      <c r="I44" s="510" t="str">
        <f>IF(AND(B44&lt;&gt;"",M$42=TRUE),A$42&amp;RANK(M44,M$43:VM$47,0),"")</f>
        <v/>
      </c>
      <c r="J44" s="512">
        <f t="shared" si="10"/>
        <v>0</v>
      </c>
      <c r="K44" s="639">
        <f>IF(AND(J44=1,J42=1,C44&gt;E42),1)+IF(AND(J44=1,J43=1,D44&gt;E43),1)+IF(AND(J44=1,J45=1,F44&gt;E45),1)+IF(AND(J44=1,J46=1,G44&gt;E46),1)+IF(AND(J44=2,J42=2,C44&gt;E42),1)+IF(AND(J44=2,J43=2,D44&gt;E43),1)+IF(AND(J44=2,J45=2,F44&gt;E45),1)+IF(AND(J44=2,J46=2,G44&gt;E46),1)+IF(AND(J44=3,J42=3,C44&gt;E42),1)+IF(AND(J44=3,J43=3,D44&gt;E43),1)+IF(AND(J44=3,J45=3,F44&gt;E45),1)+IF(AND(J44=3,J46=3,G44&gt;E46),1)</f>
        <v>0</v>
      </c>
      <c r="L44" s="1305">
        <f>IF(AND(J44=1,J42=1),C44-E42)+IF(AND(J44=1,J43=1),D44-E43)+IF(AND(J44=1,J45=1),F44-E45)+IF(AND(J44=1,J46=1),G44-E46)+IF(AND(J44=2,J42=2),C44-E42)+IF(AND(J44=2,J43=2),D44-E43)+IF(AND(J44=2,J45=2),F44-E45)+IF(AND(J44=2,J46=2),G44-E46)+IF(AND(J44=3,J42=3),C44-E42)+IF(AND(J44=3,J43=3),D44-E43)+IF(AND(J44=3,J45=3),F44-E45)+IF(AND(J44=3,J46=3),G44-E46)</f>
        <v>0</v>
      </c>
      <c r="M44" s="515">
        <f t="shared" si="11"/>
        <v>0</v>
      </c>
      <c r="N44" s="668"/>
    </row>
    <row r="45" spans="1:14" s="498" customFormat="1" hidden="1" x14ac:dyDescent="0.2">
      <c r="A45" s="500">
        <v>4</v>
      </c>
      <c r="B45" s="521"/>
      <c r="C45" s="510"/>
      <c r="D45" s="520"/>
      <c r="E45" s="510"/>
      <c r="F45" s="509"/>
      <c r="G45" s="522"/>
      <c r="H45" s="511" t="str">
        <f>(IF(C45-F42&gt;0,1)+IF(D45-F43&gt;0,1)+IF(E45-F44&gt;0,1)+IF(G45-F46&gt;0,1))&amp;"-"&amp;(IF(C45-F42&lt;0,1)+IF(D45-F43&lt;0,1)+IF(E45-F44&lt;0,1)+IF(G45-F46&lt;0,1))</f>
        <v>0-0</v>
      </c>
      <c r="I45" s="510" t="str">
        <f>IF(AND(B45&lt;&gt;"",M$42=TRUE),A$42&amp;RANK(M45,M$43:VM$47,0),"")</f>
        <v/>
      </c>
      <c r="J45" s="512">
        <f t="shared" si="10"/>
        <v>0</v>
      </c>
      <c r="K45" s="639">
        <f>IF(AND(J45=1,J42=1,C45&gt;F42),1)+IF(AND(J45=1,J43=1,D45&gt;F43),1)+IF(AND(J45=1,J44=1,E45&gt;F44),1)+IF(AND(J45=1,J46=1,G45&gt;F46),1)+IF(AND(J45=2,J42=2,C45&gt;F42),1)+IF(AND(J45=2,J43=2,D45&gt;F43),1)+IF(AND(J45=2,J44=2,E45&gt;F44),1)+IF(AND(J45=2,J46=2,G45&gt;F46),1)+IF(AND(J45=3,J42=3,C45&gt;F42),1)+IF(AND(J45=3,J43=3,D45&gt;F43),1)+IF(AND(J45=3,J44=3,E45&gt;F44),1)+IF(AND(J45=3,J46=3,G45&gt;F46),1)</f>
        <v>0</v>
      </c>
      <c r="L45" s="1305">
        <f>IF(AND(J45=1,J42=1),C45-F42)+IF(AND(J45=1,J43=1),D45-F43)+IF(AND(J45=1,J44=1),E45-F44)+IF(AND(J45=1,J46=1),G45-F46)+IF(AND(J45=2,J42=2),C45-F42)+IF(AND(J45=2,J43=2),D45-F43)+IF(AND(J45=2,J44=2),E45-F44)+IF(AND(J45=2,J46=2),G45-F46)+IF(AND(J45=3,J42=3),C45-F42)+IF(AND(J45=3,J43=3),D45-F43)+IF(AND(J45=3,J44=3),E45-F44)+IF(AND(J45=3,J46=3),G45-F46)</f>
        <v>0</v>
      </c>
      <c r="M45" s="515">
        <f t="shared" si="11"/>
        <v>0</v>
      </c>
      <c r="N45" s="668"/>
    </row>
    <row r="46" spans="1:14" s="498" customFormat="1" hidden="1" x14ac:dyDescent="0.2">
      <c r="A46" s="500">
        <v>5</v>
      </c>
      <c r="B46" s="521"/>
      <c r="C46" s="510"/>
      <c r="D46" s="510"/>
      <c r="E46" s="510"/>
      <c r="F46" s="510"/>
      <c r="G46" s="509"/>
      <c r="H46" s="511" t="str">
        <f>(IF(C46-G42&gt;0,1)+IF(D46-G43&gt;0,1)+IF(E46-G44&gt;0,1)+IF(F46-G45&gt;0,1))&amp;"-"&amp;(IF(C46-G42&lt;0,1)+IF(D46-G43&lt;0,1)+IF(E46-G44&lt;0,1)+IF(F46-G45&lt;0,1))</f>
        <v>0-0</v>
      </c>
      <c r="I46" s="510" t="str">
        <f>IF(AND(B46&lt;&gt;"",M$42=TRUE),A$42&amp;RANK(M46,M$43:VM$47,0),"")</f>
        <v/>
      </c>
      <c r="J46" s="512">
        <f t="shared" si="10"/>
        <v>0</v>
      </c>
      <c r="K46" s="639">
        <f>IF(AND(J46=1,J42=1,C46&gt;G42),1)+IF(AND(J46=1,J43=1,D46&gt;G43),1)+IF(AND(J46=1,J44=1,E46&gt;G44),1)+IF(AND(J46=1,J45=1,F46&gt;G45),1)+IF(AND(J46=2,J42=2,C46&gt;G42),1)+IF(AND(J46=2,J43=2,D46&gt;G43),1)+IF(AND(J46=2,J44=2,E46&gt;G44),1)+IF(AND(J46=2,J45=2,F46&gt;G45),1)+IF(AND(J46=3,J42=3,C46&gt;G42),1)+IF(AND(J46=3,J43=3,D46&gt;G43),1)+IF(AND(J46=3,J44=3,E46&gt;G44),1)+IF(AND(J46=3,J45=3,F46&gt;G45),1)</f>
        <v>0</v>
      </c>
      <c r="L46" s="1305">
        <f>IF(AND(J46=1,J42=1),C46-G42)+IF(AND(J46=1,J43=1),D46-G43)+IF(AND(J46=1,J44=1),E46-G44)+IF(AND(J46=1,J45=1),F46-G45)+IF(AND(J46=2,J42=2),C46-G42)+IF(AND(J46=2,J43=2),D46-G43)+IF(AND(J46=2,J44=2),E46-G44)+IF(AND(J46=2,J45=2),F46-G45)+IF(AND(J46=3,J42=3),C46-G42)+IF(AND(J46=3,J43=3),D46-G43)+IF(AND(J46=3,J44=3),E46-G44)+IF(AND(J46=3,J45=3),F46-G45)</f>
        <v>0</v>
      </c>
      <c r="M46" s="515">
        <f t="shared" si="11"/>
        <v>0</v>
      </c>
      <c r="N46" s="668"/>
    </row>
    <row r="47" spans="1:14" s="506" customFormat="1" hidden="1" x14ac:dyDescent="0.2">
      <c r="A47" s="523"/>
      <c r="B47" s="524"/>
      <c r="C47" s="525"/>
      <c r="D47" s="526"/>
      <c r="E47" s="525"/>
      <c r="F47" s="527"/>
      <c r="H47" s="528"/>
      <c r="I47" s="529"/>
      <c r="J47" s="496"/>
      <c r="K47" s="537"/>
      <c r="L47" s="531"/>
      <c r="M47" s="496"/>
      <c r="N47" s="668"/>
    </row>
    <row r="48" spans="1:14" s="498" customFormat="1" hidden="1" x14ac:dyDescent="0.2">
      <c r="A48" s="500" t="s">
        <v>146</v>
      </c>
      <c r="B48" s="501"/>
      <c r="C48" s="502">
        <v>1</v>
      </c>
      <c r="D48" s="502">
        <v>2</v>
      </c>
      <c r="E48" s="502">
        <v>3</v>
      </c>
      <c r="F48" s="502">
        <v>4</v>
      </c>
      <c r="G48" s="502"/>
      <c r="H48" s="501" t="s">
        <v>363</v>
      </c>
      <c r="I48" s="501" t="s">
        <v>26</v>
      </c>
      <c r="J48" s="533" t="s">
        <v>156</v>
      </c>
      <c r="K48" s="504" t="s">
        <v>156</v>
      </c>
      <c r="L48" s="534" t="s">
        <v>364</v>
      </c>
      <c r="M48" s="535" t="b">
        <f>OR(AND(COUNTA(B49:B53)=3,COUNTA(C49:G53)=6),AND(COUNTA(B49:B53)=4,COUNTA(C49:G53)=12),AND(COUNTA(B49:B53)=5,COUNTA(C49:G53)=20))</f>
        <v>0</v>
      </c>
      <c r="N48" s="668"/>
    </row>
    <row r="49" spans="1:14" s="498" customFormat="1" hidden="1" x14ac:dyDescent="0.2">
      <c r="A49" s="500">
        <v>1</v>
      </c>
      <c r="B49" s="508"/>
      <c r="C49" s="509"/>
      <c r="D49" s="510"/>
      <c r="E49" s="510"/>
      <c r="F49" s="510"/>
      <c r="G49" s="510"/>
      <c r="H49" s="511" t="str">
        <f>(IF(D49-C50&gt;0,1)+IF(E49-C51&gt;0,1)+IF(F49-C52&gt;0,1)+IF(G49-C53&gt;0,1))&amp;"-"&amp;(IF(D49-C50&lt;0,1)+IF(E49-C51&lt;0,1)+IF(F49-C52&lt;0,1)+IF(G49-C53&lt;0,1))</f>
        <v>0-0</v>
      </c>
      <c r="I49" s="510" t="str">
        <f>IF(AND(B49&lt;&gt;"",M$49=TRUE),A$49&amp;RANK(M49,M$50:M$54,0),"")</f>
        <v/>
      </c>
      <c r="J49" s="512">
        <f>VALUE(LEFT(H49,1))</f>
        <v>0</v>
      </c>
      <c r="K49" s="513">
        <f>IF(AND(J49=1,J50=1,D49&gt;C50),1)+IF(AND(J49=1,J51=1,E49&gt;C51),1)+IF(AND(J49=1,J52=1,F49&gt;C52),1)+IF(AND(J49=1,J53=1,G49&gt;C53),1)+IF(AND(J49=2,J50=2,D49&gt;C50),1)+IF(AND(J49=2,J51=2,E49&gt;C51),1)+IF(AND(J49=2,J52=2,F49&gt;C52),1)+IF(AND(J49=2,J53=2,G49&gt;C53),1)+IF(AND(J49=3,J50=3,D49&gt;C50),1)+IF(AND(J49=3,J51=3,E49&gt;C51),1)+IF(AND(J49=3,J52=3,F49&gt;C52),1)+IF(AND(J49=3,J53=3,G49&gt;C53),1)</f>
        <v>0</v>
      </c>
      <c r="L49" s="1305">
        <f>IF(AND(J49=1,J50=1),D49-C50)+IF(AND(J49=1,J51=1),E49-C51)+IF(AND(J49=1,J52=1),F49-C52)+IF(AND(J49=1,J53=1),G49-C53)+IF(AND(J49=2,J50=2),D49-C50)+IF(AND(J49=2,J51=2),E49-C51)+IF(AND(J49=2,J52=2),F49-C52)+IF(AND(J49=2,J53=2),G49-C53)+IF(AND(J49=3,J50=3),D49-C50)+IF(AND(J49=3,J51=3),E49-C51)+IF(AND(J49=3,J52=3),F49-C52)+IF(AND(J49=3,J53=3),G49-C53)</f>
        <v>0</v>
      </c>
      <c r="M49" s="515">
        <f>10000*J49+K49*100+L49</f>
        <v>0</v>
      </c>
      <c r="N49" s="668"/>
    </row>
    <row r="50" spans="1:14" s="498" customFormat="1" hidden="1" x14ac:dyDescent="0.2">
      <c r="A50" s="500">
        <v>2</v>
      </c>
      <c r="B50" s="518"/>
      <c r="C50" s="510"/>
      <c r="D50" s="509"/>
      <c r="E50" s="510"/>
      <c r="F50" s="510"/>
      <c r="G50" s="510"/>
      <c r="H50" s="511" t="str">
        <f>(IF(C50-D49&gt;0,1)+IF(E50-D51&gt;0,1)+IF(F50-D52&gt;0,1)+IF(G50-D53&gt;0,1))&amp;"-"&amp;(IF(C50-D49&lt;0,1)+IF(E50-D51&lt;0,1)+IF(F50-D52&lt;0,1)+IF(G50-D53&lt;0,1))</f>
        <v>0-0</v>
      </c>
      <c r="I50" s="510" t="str">
        <f>IF(AND(B50&lt;&gt;"",M$49=TRUE),A$49&amp;RANK(M50,M$50:M$54,0),"")</f>
        <v/>
      </c>
      <c r="J50" s="512">
        <f t="shared" ref="J50:J53" si="12">VALUE(LEFT(H50,1))</f>
        <v>0</v>
      </c>
      <c r="K50" s="639">
        <f>IF(AND(J50=1,J49=1,C50&gt;D49),1)+IF(AND(J50=1,J51=1,E50&gt;D51),1)+IF(AND(J50=1,J52=1,F50&gt;D52),1)+IF(AND(J50=1,J53=1,G50&gt;D53),1)+IF(AND(J50=2,J49=2,C50&gt;D49),1)+IF(AND(J50=2,J51=2,E50&gt;D51),1)+IF(AND(J50=2,J52=2,F50&gt;D52),1)+IF(AND(J50=2,J53=2,G50&gt;D53),1)+IF(AND(J50=3,J49=3,C50&gt;D49),1)+IF(AND(J50=3,J51=3,E50&gt;D51),1)+IF(AND(J50=3,J52=3,F50&gt;D52),1)+IF(AND(J50=3,J53=3,G50&gt;D53),1)</f>
        <v>0</v>
      </c>
      <c r="L50" s="1305">
        <f>IF(AND(J50=1,J49=1),C50-D49)+IF(AND(J50=1,J51=1),E50-D51)+IF(AND(J50=1,J52=1),F50-D52)+IF(AND(J50=1,J53=1),G50-D53)+IF(AND(J50=2,J49=2),C50-D49)+IF(AND(J50=2,J51=2),E50-D51)+IF(AND(J50=2,J52=2),F50-D52)+IF(AND(J50=2,J53=2),G50-D53)+IF(AND(J50=3,J49=3),C50-D49)+IF(AND(J50=3,J51=3),E50-D51)+IF(AND(J50=3,J52=3),F50-D52)+IF(AND(J50=3,J53=3),G50-D53)</f>
        <v>0</v>
      </c>
      <c r="M50" s="515">
        <f t="shared" ref="M50:M53" si="13">10000*J50+K50*100+L50</f>
        <v>0</v>
      </c>
      <c r="N50" s="668"/>
    </row>
    <row r="51" spans="1:14" s="498" customFormat="1" hidden="1" x14ac:dyDescent="0.2">
      <c r="A51" s="500">
        <v>3</v>
      </c>
      <c r="B51" s="518"/>
      <c r="C51" s="510"/>
      <c r="D51" s="520"/>
      <c r="E51" s="509"/>
      <c r="F51" s="510"/>
      <c r="G51" s="510"/>
      <c r="H51" s="511" t="str">
        <f>(IF(C51-E49&gt;0,1)+IF(D51-E50&gt;0,1)+IF(F51-E52&gt;0,1)+IF(G51-E53&gt;0,1))&amp;"-"&amp;(IF(C51-E49&lt;0,1)+IF(D51-E50&lt;0,1)+IF(F51-E52&lt;0,1)+IF(G51-E53&lt;0,1))</f>
        <v>0-0</v>
      </c>
      <c r="I51" s="510" t="str">
        <f>IF(AND(B51&lt;&gt;"",M$49=TRUE),A$49&amp;RANK(M51,M$50:M$54,0),"")</f>
        <v/>
      </c>
      <c r="J51" s="512">
        <f t="shared" si="12"/>
        <v>0</v>
      </c>
      <c r="K51" s="639">
        <f>IF(AND(J51=1,J49=1,C51&gt;E49),1)+IF(AND(J51=1,J50=1,D51&gt;E50),1)+IF(AND(J51=1,J52=1,F51&gt;E52),1)+IF(AND(J51=1,J53=1,G51&gt;E53),1)+IF(AND(J51=2,J49=2,C51&gt;E49),1)+IF(AND(J51=2,J50=2,D51&gt;E50),1)+IF(AND(J51=2,J52=2,F51&gt;E52),1)+IF(AND(J51=2,J53=2,G51&gt;E53),1)+IF(AND(J51=3,J49=3,C51&gt;E49),1)+IF(AND(J51=3,J50=3,D51&gt;E50),1)+IF(AND(J51=3,J52=3,F51&gt;E52),1)+IF(AND(J51=3,J53=3,G51&gt;E53),1)</f>
        <v>0</v>
      </c>
      <c r="L51" s="1305">
        <f>IF(AND(J51=1,J49=1),C51-E49)+IF(AND(J51=1,J50=1),D51-E50)+IF(AND(J51=1,J52=1),F51-E52)+IF(AND(J51=1,J53=1),G51-E53)+IF(AND(J51=2,J49=2),C51-E49)+IF(AND(J51=2,J50=2),D51-E50)+IF(AND(J51=2,J52=2),F51-E52)+IF(AND(J51=2,J53=2),G51-E53)+IF(AND(J51=3,J49=3),C51-E49)+IF(AND(J51=3,J50=3),D51-E50)+IF(AND(J51=3,J52=3),F51-E52)+IF(AND(J51=3,J53=3),G51-E53)</f>
        <v>0</v>
      </c>
      <c r="M51" s="515">
        <f t="shared" si="13"/>
        <v>0</v>
      </c>
      <c r="N51" s="668"/>
    </row>
    <row r="52" spans="1:14" s="498" customFormat="1" hidden="1" x14ac:dyDescent="0.2">
      <c r="A52" s="500">
        <v>4</v>
      </c>
      <c r="B52" s="521"/>
      <c r="C52" s="510"/>
      <c r="D52" s="520"/>
      <c r="E52" s="510"/>
      <c r="F52" s="509"/>
      <c r="G52" s="522"/>
      <c r="H52" s="511" t="str">
        <f>(IF(C52-F49&gt;0,1)+IF(D52-F50&gt;0,1)+IF(E52-F51&gt;0,1)+IF(G52-F53&gt;0,1))&amp;"-"&amp;(IF(C52-F49&lt;0,1)+IF(D52-F50&lt;0,1)+IF(E52-F51&lt;0,1)+IF(G52-F53&lt;0,1))</f>
        <v>0-0</v>
      </c>
      <c r="I52" s="510" t="str">
        <f>IF(AND(B52&lt;&gt;"",M$49=TRUE),A$49&amp;RANK(M52,M$50:M$54,0),"")</f>
        <v/>
      </c>
      <c r="J52" s="512">
        <f t="shared" si="12"/>
        <v>0</v>
      </c>
      <c r="K52" s="639">
        <f>IF(AND(J52=1,J49=1,C52&gt;F49),1)+IF(AND(J52=1,J50=1,D52&gt;F50),1)+IF(AND(J52=1,J51=1,E52&gt;F51),1)+IF(AND(J52=1,J53=1,G52&gt;F53),1)+IF(AND(J52=2,J49=2,C52&gt;F49),1)+IF(AND(J52=2,J50=2,D52&gt;F50),1)+IF(AND(J52=2,J51=2,E52&gt;F51),1)+IF(AND(J52=2,J53=2,G52&gt;F53),1)+IF(AND(J52=3,J49=3,C52&gt;F49),1)+IF(AND(J52=3,J50=3,D52&gt;F50),1)+IF(AND(J52=3,J51=3,E52&gt;F51),1)+IF(AND(J52=3,J53=3,G52&gt;F53),1)</f>
        <v>0</v>
      </c>
      <c r="L52" s="1305">
        <f>IF(AND(J52=1,J49=1),C52-F49)+IF(AND(J52=1,J50=1),D52-F50)+IF(AND(J52=1,J51=1),E52-F51)+IF(AND(J52=1,J53=1),G52-F53)+IF(AND(J52=2,J49=2),C52-F49)+IF(AND(J52=2,J50=2),D52-F50)+IF(AND(J52=2,J51=2),E52-F51)+IF(AND(J52=2,J53=2),G52-F53)+IF(AND(J52=3,J49=3),C52-F49)+IF(AND(J52=3,J50=3),D52-F50)+IF(AND(J52=3,J51=3),E52-F51)+IF(AND(J52=3,J53=3),G52-F53)</f>
        <v>0</v>
      </c>
      <c r="M52" s="515">
        <f t="shared" si="13"/>
        <v>0</v>
      </c>
      <c r="N52" s="668"/>
    </row>
    <row r="53" spans="1:14" s="498" customFormat="1" hidden="1" x14ac:dyDescent="0.2">
      <c r="A53" s="500">
        <v>5</v>
      </c>
      <c r="B53" s="521"/>
      <c r="C53" s="510"/>
      <c r="D53" s="510"/>
      <c r="E53" s="510"/>
      <c r="F53" s="510"/>
      <c r="G53" s="509"/>
      <c r="H53" s="511" t="str">
        <f>(IF(C53-G49&gt;0,1)+IF(D53-G50&gt;0,1)+IF(E53-G51&gt;0,1)+IF(F53-G52&gt;0,1))&amp;"-"&amp;(IF(C53-G49&lt;0,1)+IF(D53-G50&lt;0,1)+IF(E53-G51&lt;0,1)+IF(F53-G52&lt;0,1))</f>
        <v>0-0</v>
      </c>
      <c r="I53" s="510" t="str">
        <f>IF(AND(B53&lt;&gt;"",M$49=TRUE),A$49&amp;RANK(M53,M$50:M$54,0),"")</f>
        <v/>
      </c>
      <c r="J53" s="512">
        <f t="shared" si="12"/>
        <v>0</v>
      </c>
      <c r="K53" s="639">
        <f>IF(AND(J53=1,J49=1,C53&gt;G49),1)+IF(AND(J53=1,J50=1,D53&gt;G50),1)+IF(AND(J53=1,J51=1,E53&gt;G51),1)+IF(AND(J53=1,J52=1,F53&gt;G52),1)+IF(AND(J53=2,J49=2,C53&gt;G49),1)+IF(AND(J53=2,J50=2,D53&gt;G50),1)+IF(AND(J53=2,J51=2,E53&gt;G51),1)+IF(AND(J53=2,J52=2,F53&gt;G52),1)+IF(AND(J53=3,J49=3,C53&gt;G49),1)+IF(AND(J53=3,J50=3,D53&gt;G50),1)+IF(AND(J53=3,J51=3,E53&gt;G51),1)+IF(AND(J53=3,J52=3,F53&gt;G52),1)</f>
        <v>0</v>
      </c>
      <c r="L53" s="1305">
        <f>IF(AND(J53=1,J49=1),C53-G49)+IF(AND(J53=1,J50=1),D53-G50)+IF(AND(J53=1,J51=1),E53-G51)+IF(AND(J53=1,J52=1),F53-G52)+IF(AND(J53=2,J49=2),C53-G49)+IF(AND(J53=2,J50=2),D53-G50)+IF(AND(J53=2,J51=2),E53-G51)+IF(AND(J53=2,J52=2),F53-G52)+IF(AND(J53=3,J49=3),C53-G49)+IF(AND(J53=3,J50=3),D53-G50)+IF(AND(J53=3,J51=3),E53-G51)+IF(AND(J53=3,J52=3),F53-G52)</f>
        <v>0</v>
      </c>
      <c r="M53" s="515">
        <f t="shared" si="13"/>
        <v>0</v>
      </c>
      <c r="N53" s="668"/>
    </row>
    <row r="54" spans="1:14" s="498" customFormat="1" hidden="1" x14ac:dyDescent="0.2">
      <c r="A54" s="538"/>
      <c r="B54" s="539"/>
      <c r="C54" s="540"/>
      <c r="D54" s="540"/>
      <c r="E54" s="540"/>
      <c r="F54" s="641"/>
      <c r="G54" s="641"/>
      <c r="H54" s="541"/>
      <c r="I54" s="542"/>
      <c r="J54" s="642"/>
      <c r="K54" s="530"/>
      <c r="L54" s="643"/>
      <c r="M54" s="642"/>
      <c r="N54" s="668"/>
    </row>
    <row r="55" spans="1:14" s="506" customFormat="1" hidden="1" x14ac:dyDescent="0.2">
      <c r="A55" s="500" t="s">
        <v>147</v>
      </c>
      <c r="B55" s="501"/>
      <c r="C55" s="502">
        <v>1</v>
      </c>
      <c r="D55" s="502">
        <v>2</v>
      </c>
      <c r="E55" s="502">
        <v>3</v>
      </c>
      <c r="F55" s="502">
        <v>4</v>
      </c>
      <c r="G55" s="502"/>
      <c r="H55" s="501" t="s">
        <v>363</v>
      </c>
      <c r="I55" s="501" t="s">
        <v>26</v>
      </c>
      <c r="J55" s="533" t="s">
        <v>156</v>
      </c>
      <c r="K55" s="504" t="s">
        <v>156</v>
      </c>
      <c r="L55" s="534" t="s">
        <v>364</v>
      </c>
      <c r="M55" s="535" t="b">
        <f>OR(AND(COUNTA(B56:B60)=3,COUNTA(C56:G60)=6),AND(COUNTA(B56:B60)=4,COUNTA(C56:G60)=12),AND(COUNTA(B56:B60)=5,COUNTA(C56:G60)=20))</f>
        <v>0</v>
      </c>
      <c r="N55" s="668"/>
    </row>
    <row r="56" spans="1:14" s="506" customFormat="1" hidden="1" x14ac:dyDescent="0.2">
      <c r="A56" s="500">
        <v>1</v>
      </c>
      <c r="B56" s="508"/>
      <c r="C56" s="509"/>
      <c r="D56" s="510"/>
      <c r="E56" s="510"/>
      <c r="F56" s="510"/>
      <c r="G56" s="510"/>
      <c r="H56" s="511" t="str">
        <f>(IF(D56-C57&gt;0,1)+IF(E56-C58&gt;0,1)+IF(F56-C59&gt;0,1)+IF(G56-C60&gt;0,1))&amp;"-"&amp;(IF(D56-C57&lt;0,1)+IF(E56-C58&lt;0,1)+IF(F56-C59&lt;0,1)+IF(G56-C60&lt;0,1))</f>
        <v>0-0</v>
      </c>
      <c r="I56" s="510" t="str">
        <f>IF(AND(B56&lt;&gt;"",M$56=TRUE),A$56&amp;RANK(M56,M$57:M$61,0),"")</f>
        <v/>
      </c>
      <c r="J56" s="512">
        <f>VALUE(LEFT(H56,1))</f>
        <v>0</v>
      </c>
      <c r="K56" s="513">
        <f>IF(AND(J56=1,J57=1,D56&gt;C57),1)+IF(AND(J56=1,J58=1,E56&gt;C58),1)+IF(AND(J56=1,J59=1,F56&gt;C59),1)+IF(AND(J56=1,J60=1,G56&gt;C60),1)+IF(AND(J56=2,J57=2,D56&gt;C57),1)+IF(AND(J56=2,J58=2,E56&gt;C58),1)+IF(AND(J56=2,J59=2,F56&gt;C59),1)+IF(AND(J56=2,J60=2,G56&gt;C60),1)+IF(AND(J56=3,J57=3,D56&gt;C57),1)+IF(AND(J56=3,J58=3,E56&gt;C58),1)+IF(AND(J56=3,J59=3,F56&gt;C59),1)+IF(AND(J56=3,J60=3,G56&gt;C60),1)</f>
        <v>0</v>
      </c>
      <c r="L56" s="1305">
        <f>IF(AND(J56=1,J57=1),D56-C57)+IF(AND(J56=1,J58=1),E56-C58)+IF(AND(J56=1,J59=1),F56-C59)+IF(AND(J56=1,J60=1),G56-C60)+IF(AND(J56=2,J57=2),D56-C57)+IF(AND(J56=2,J58=2),E56-C58)+IF(AND(J56=2,J59=2),F56-C59)+IF(AND(J56=2,J60=2),G56-C60)+IF(AND(J56=3,J57=3),D56-C57)+IF(AND(J56=3,J58=3),E56-C58)+IF(AND(J56=3,J59=3),F56-C59)+IF(AND(J56=3,J60=3),G56-C60)</f>
        <v>0</v>
      </c>
      <c r="M56" s="515">
        <f>10000*J56+K56*100+L56</f>
        <v>0</v>
      </c>
      <c r="N56" s="668"/>
    </row>
    <row r="57" spans="1:14" s="506" customFormat="1" hidden="1" x14ac:dyDescent="0.2">
      <c r="A57" s="500">
        <v>2</v>
      </c>
      <c r="B57" s="518"/>
      <c r="C57" s="510"/>
      <c r="D57" s="509"/>
      <c r="E57" s="510"/>
      <c r="F57" s="510"/>
      <c r="G57" s="510"/>
      <c r="H57" s="511" t="str">
        <f>(IF(C57-D56&gt;0,1)+IF(E57-D58&gt;0,1)+IF(F57-D59&gt;0,1)+IF(G57-D60&gt;0,1))&amp;"-"&amp;(IF(C57-D56&lt;0,1)+IF(E57-D58&lt;0,1)+IF(F57-D59&lt;0,1)+IF(G57-D60&lt;0,1))</f>
        <v>0-0</v>
      </c>
      <c r="I57" s="510" t="str">
        <f>IF(AND(B57&lt;&gt;"",M$56=TRUE),A$56&amp;RANK(M57,M$57:M$61,0),"")</f>
        <v/>
      </c>
      <c r="J57" s="512">
        <f t="shared" ref="J57:J60" si="14">VALUE(LEFT(H57,1))</f>
        <v>0</v>
      </c>
      <c r="K57" s="639">
        <f>IF(AND(J57=1,J56=1,C57&gt;D56),1)+IF(AND(J57=1,J58=1,E57&gt;D58),1)+IF(AND(J57=1,J59=1,F57&gt;D59),1)+IF(AND(J57=1,J60=1,G57&gt;D60),1)+IF(AND(J57=2,J56=2,C57&gt;D56),1)+IF(AND(J57=2,J58=2,E57&gt;D58),1)+IF(AND(J57=2,J59=2,F57&gt;D59),1)+IF(AND(J57=2,J60=2,G57&gt;D60),1)+IF(AND(J57=3,J56=3,C57&gt;D56),1)+IF(AND(J57=3,J58=3,E57&gt;D58),1)+IF(AND(J57=3,J59=3,F57&gt;D59),1)+IF(AND(J57=3,J60=3,G57&gt;D60),1)</f>
        <v>0</v>
      </c>
      <c r="L57" s="1305">
        <f>IF(AND(J57=1,J56=1),C57-D56)+IF(AND(J57=1,J58=1),E57-D58)+IF(AND(J57=1,J59=1),F57-D59)+IF(AND(J57=1,J60=1),G57-D60)+IF(AND(J57=2,J56=2),C57-D56)+IF(AND(J57=2,J58=2),E57-D58)+IF(AND(J57=2,J59=2),F57-D59)+IF(AND(J57=2,J60=2),G57-D60)+IF(AND(J57=3,J56=3),C57-D56)+IF(AND(J57=3,J58=3),E57-D58)+IF(AND(J57=3,J59=3),F57-D59)+IF(AND(J57=3,J60=3),G57-D60)</f>
        <v>0</v>
      </c>
      <c r="M57" s="515">
        <f t="shared" ref="M57:M60" si="15">10000*J57+K57*100+L57</f>
        <v>0</v>
      </c>
      <c r="N57" s="668"/>
    </row>
    <row r="58" spans="1:14" s="506" customFormat="1" hidden="1" x14ac:dyDescent="0.2">
      <c r="A58" s="500">
        <v>3</v>
      </c>
      <c r="B58" s="518"/>
      <c r="C58" s="510"/>
      <c r="D58" s="520"/>
      <c r="E58" s="509"/>
      <c r="F58" s="510"/>
      <c r="G58" s="510"/>
      <c r="H58" s="511" t="str">
        <f>(IF(C58-E56&gt;0,1)+IF(D58-E57&gt;0,1)+IF(F58-E59&gt;0,1)+IF(G58-E60&gt;0,1))&amp;"-"&amp;(IF(C58-E56&lt;0,1)+IF(D58-E57&lt;0,1)+IF(F58-E59&lt;0,1)+IF(G58-E60&lt;0,1))</f>
        <v>0-0</v>
      </c>
      <c r="I58" s="510" t="str">
        <f>IF(AND(B58&lt;&gt;"",M$56=TRUE),A$56&amp;RANK(M58,M$57:M$61,0),"")</f>
        <v/>
      </c>
      <c r="J58" s="512">
        <f t="shared" si="14"/>
        <v>0</v>
      </c>
      <c r="K58" s="639">
        <f>IF(AND(J58=1,J56=1,C58&gt;E56),1)+IF(AND(J58=1,J57=1,D58&gt;E57),1)+IF(AND(J58=1,J59=1,F58&gt;E59),1)+IF(AND(J58=1,J60=1,G58&gt;E60),1)+IF(AND(J58=2,J56=2,C58&gt;E56),1)+IF(AND(J58=2,J57=2,D58&gt;E57),1)+IF(AND(J58=2,J59=2,F58&gt;E59),1)+IF(AND(J58=2,J60=2,G58&gt;E60),1)+IF(AND(J58=3,J56=3,C58&gt;E56),1)+IF(AND(J58=3,J57=3,D58&gt;E57),1)+IF(AND(J58=3,J59=3,F58&gt;E59),1)+IF(AND(J58=3,J60=3,G58&gt;E60),1)</f>
        <v>0</v>
      </c>
      <c r="L58" s="1305">
        <f>IF(AND(J58=1,J56=1),C58-E56)+IF(AND(J58=1,J57=1),D58-E57)+IF(AND(J58=1,J59=1),F58-E59)+IF(AND(J58=1,J60=1),G58-E60)+IF(AND(J58=2,J56=2),C58-E56)+IF(AND(J58=2,J57=2),D58-E57)+IF(AND(J58=2,J59=2),F58-E59)+IF(AND(J58=2,J60=2),G58-E60)+IF(AND(J58=3,J56=3),C58-E56)+IF(AND(J58=3,J57=3),D58-E57)+IF(AND(J58=3,J59=3),F58-E59)+IF(AND(J58=3,J60=3),G58-E60)</f>
        <v>0</v>
      </c>
      <c r="M58" s="515">
        <f t="shared" si="15"/>
        <v>0</v>
      </c>
      <c r="N58" s="668"/>
    </row>
    <row r="59" spans="1:14" s="506" customFormat="1" hidden="1" x14ac:dyDescent="0.2">
      <c r="A59" s="500">
        <v>4</v>
      </c>
      <c r="B59" s="521"/>
      <c r="C59" s="510"/>
      <c r="D59" s="520"/>
      <c r="E59" s="510"/>
      <c r="F59" s="509"/>
      <c r="G59" s="522"/>
      <c r="H59" s="511" t="str">
        <f>(IF(C59-F56&gt;0,1)+IF(D59-F57&gt;0,1)+IF(E59-F58&gt;0,1)+IF(G59-F60&gt;0,1))&amp;"-"&amp;(IF(C59-F56&lt;0,1)+IF(D59-F57&lt;0,1)+IF(E59-F58&lt;0,1)+IF(G59-F60&lt;0,1))</f>
        <v>0-0</v>
      </c>
      <c r="I59" s="510" t="str">
        <f>IF(AND(B59&lt;&gt;"",M$56=TRUE),A$56&amp;RANK(M59,M$57:M$61,0),"")</f>
        <v/>
      </c>
      <c r="J59" s="512">
        <f t="shared" si="14"/>
        <v>0</v>
      </c>
      <c r="K59" s="639">
        <f>IF(AND(J59=1,J56=1,C59&gt;F56),1)+IF(AND(J59=1,J57=1,D59&gt;F57),1)+IF(AND(J59=1,J58=1,E59&gt;F58),1)+IF(AND(J59=1,J60=1,G59&gt;F60),1)+IF(AND(J59=2,J56=2,C59&gt;F56),1)+IF(AND(J59=2,J57=2,D59&gt;F57),1)+IF(AND(J59=2,J58=2,E59&gt;F58),1)+IF(AND(J59=2,J60=2,G59&gt;F60),1)+IF(AND(J59=3,J56=3,C59&gt;F56),1)+IF(AND(J59=3,J57=3,D59&gt;F57),1)+IF(AND(J59=3,J58=3,E59&gt;F58),1)+IF(AND(J59=3,J60=3,G59&gt;F60),1)</f>
        <v>0</v>
      </c>
      <c r="L59" s="1305">
        <f>IF(AND(J59=1,J56=1),C59-F56)+IF(AND(J59=1,J57=1),D59-F57)+IF(AND(J59=1,J58=1),E59-F58)+IF(AND(J59=1,J60=1),G59-F60)+IF(AND(J59=2,J56=2),C59-F56)+IF(AND(J59=2,J57=2),D59-F57)+IF(AND(J59=2,J58=2),E59-F58)+IF(AND(J59=2,J60=2),G59-F60)+IF(AND(J59=3,J56=3),C59-F56)+IF(AND(J59=3,J57=3),D59-F57)+IF(AND(J59=3,J58=3),E59-F58)+IF(AND(J59=3,J60=3),G59-F60)</f>
        <v>0</v>
      </c>
      <c r="M59" s="515">
        <f t="shared" si="15"/>
        <v>0</v>
      </c>
      <c r="N59" s="668"/>
    </row>
    <row r="60" spans="1:14" s="506" customFormat="1" hidden="1" x14ac:dyDescent="0.2">
      <c r="A60" s="500">
        <v>5</v>
      </c>
      <c r="B60" s="521"/>
      <c r="C60" s="510"/>
      <c r="D60" s="510"/>
      <c r="E60" s="510"/>
      <c r="F60" s="510"/>
      <c r="G60" s="509"/>
      <c r="H60" s="511" t="str">
        <f>(IF(C60-G56&gt;0,1)+IF(D60-G57&gt;0,1)+IF(E60-G58&gt;0,1)+IF(F60-G59&gt;0,1))&amp;"-"&amp;(IF(C60-G56&lt;0,1)+IF(D60-G57&lt;0,1)+IF(E60-G58&lt;0,1)+IF(F60-G59&lt;0,1))</f>
        <v>0-0</v>
      </c>
      <c r="I60" s="510" t="str">
        <f>IF(AND(B60&lt;&gt;"",M$56=TRUE),A$56&amp;RANK(M60,M$57:M$61,0),"")</f>
        <v/>
      </c>
      <c r="J60" s="512">
        <f t="shared" si="14"/>
        <v>0</v>
      </c>
      <c r="K60" s="639">
        <f>IF(AND(J60=1,J56=1,C60&gt;G56),1)+IF(AND(J60=1,J57=1,D60&gt;G57),1)+IF(AND(J60=1,J58=1,E60&gt;G58),1)+IF(AND(J60=1,J59=1,F60&gt;G59),1)+IF(AND(J60=2,J56=2,C60&gt;G56),1)+IF(AND(J60=2,J57=2,D60&gt;G57),1)+IF(AND(J60=2,J58=2,E60&gt;G58),1)+IF(AND(J60=2,J59=2,F60&gt;G59),1)+IF(AND(J60=3,J56=3,C60&gt;G56),1)+IF(AND(J60=3,J57=3,D60&gt;G57),1)+IF(AND(J60=3,J58=3,E60&gt;G58),1)+IF(AND(J60=3,J59=3,F60&gt;G59),1)</f>
        <v>0</v>
      </c>
      <c r="L60" s="1305">
        <f>IF(AND(J60=1,J56=1),C60-G56)+IF(AND(J60=1,J57=1),D60-G57)+IF(AND(J60=1,J58=1),E60-G58)+IF(AND(J60=1,J59=1),F60-G59)+IF(AND(J60=2,J56=2),C60-G56)+IF(AND(J60=2,J57=2),D60-G57)+IF(AND(J60=2,J58=2),E60-G58)+IF(AND(J60=2,J59=2),F60-G59)+IF(AND(J60=3,J56=3),C60-G56)+IF(AND(J60=3,J57=3),D60-G57)+IF(AND(J60=3,J58=3),E60-G58)+IF(AND(J60=3,J59=3),F60-G59)</f>
        <v>0</v>
      </c>
      <c r="M60" s="515">
        <f t="shared" si="15"/>
        <v>0</v>
      </c>
      <c r="N60" s="668"/>
    </row>
    <row r="61" spans="1:14" s="55" customFormat="1" hidden="1" x14ac:dyDescent="0.2">
      <c r="N61" s="668"/>
    </row>
    <row r="62" spans="1:14" s="55" customFormat="1" hidden="1" x14ac:dyDescent="0.2">
      <c r="B62" s="549" t="s">
        <v>16</v>
      </c>
      <c r="C62" s="550" t="s">
        <v>366</v>
      </c>
      <c r="D62" s="550"/>
      <c r="N62" s="668"/>
    </row>
    <row r="63" spans="1:14" s="55" customFormat="1" hidden="1" x14ac:dyDescent="0.2">
      <c r="B63" s="549" t="s">
        <v>17</v>
      </c>
      <c r="C63" s="550" t="s">
        <v>367</v>
      </c>
      <c r="D63" s="506"/>
      <c r="N63" s="668"/>
    </row>
    <row r="64" spans="1:14" s="55" customFormat="1" hidden="1" x14ac:dyDescent="0.2">
      <c r="B64" s="549" t="s">
        <v>18</v>
      </c>
      <c r="C64" s="550" t="s">
        <v>368</v>
      </c>
      <c r="D64" s="506"/>
      <c r="N64" s="668"/>
    </row>
    <row r="65" spans="1:14" s="55" customFormat="1" hidden="1" x14ac:dyDescent="0.2">
      <c r="B65" s="506"/>
      <c r="C65" s="506"/>
      <c r="D65" s="506"/>
      <c r="N65" s="668"/>
    </row>
    <row r="66" spans="1:14" s="55" customFormat="1" hidden="1" x14ac:dyDescent="0.2">
      <c r="B66" s="549" t="s">
        <v>16</v>
      </c>
      <c r="C66" s="550" t="s">
        <v>369</v>
      </c>
      <c r="D66" s="550" t="s">
        <v>367</v>
      </c>
      <c r="N66" s="668"/>
    </row>
    <row r="67" spans="1:14" s="55" customFormat="1" hidden="1" x14ac:dyDescent="0.2">
      <c r="B67" s="549" t="s">
        <v>17</v>
      </c>
      <c r="C67" s="550" t="s">
        <v>366</v>
      </c>
      <c r="D67" s="550" t="s">
        <v>370</v>
      </c>
      <c r="N67" s="668"/>
    </row>
    <row r="68" spans="1:14" s="55" customFormat="1" hidden="1" x14ac:dyDescent="0.2">
      <c r="B68" s="549" t="s">
        <v>18</v>
      </c>
      <c r="C68" s="550" t="s">
        <v>368</v>
      </c>
      <c r="D68" s="550" t="s">
        <v>371</v>
      </c>
      <c r="N68" s="668"/>
    </row>
    <row r="69" spans="1:14" s="55" customFormat="1" x14ac:dyDescent="0.2">
      <c r="B69" s="551"/>
      <c r="C69" s="527"/>
      <c r="D69" s="527"/>
      <c r="N69" s="668"/>
    </row>
    <row r="70" spans="1:14" s="55" customFormat="1" x14ac:dyDescent="0.2">
      <c r="B70" s="549" t="s">
        <v>16</v>
      </c>
      <c r="C70" s="550" t="s">
        <v>372</v>
      </c>
      <c r="D70" s="550" t="s">
        <v>370</v>
      </c>
      <c r="N70" s="668"/>
    </row>
    <row r="71" spans="1:14" s="55" customFormat="1" x14ac:dyDescent="0.2">
      <c r="B71" s="549" t="s">
        <v>17</v>
      </c>
      <c r="C71" s="550" t="s">
        <v>366</v>
      </c>
      <c r="D71" s="550" t="s">
        <v>373</v>
      </c>
      <c r="N71" s="668"/>
    </row>
    <row r="72" spans="1:14" s="55" customFormat="1" x14ac:dyDescent="0.2">
      <c r="B72" s="549" t="s">
        <v>18</v>
      </c>
      <c r="C72" s="550" t="s">
        <v>374</v>
      </c>
      <c r="D72" s="550" t="s">
        <v>371</v>
      </c>
      <c r="N72" s="668"/>
    </row>
    <row r="73" spans="1:14" s="55" customFormat="1" x14ac:dyDescent="0.2">
      <c r="B73" s="549" t="s">
        <v>19</v>
      </c>
      <c r="C73" s="550" t="s">
        <v>375</v>
      </c>
      <c r="D73" s="550" t="s">
        <v>376</v>
      </c>
      <c r="N73" s="668"/>
    </row>
    <row r="74" spans="1:14" s="55" customFormat="1" x14ac:dyDescent="0.2">
      <c r="B74" s="549" t="s">
        <v>20</v>
      </c>
      <c r="C74" s="550" t="s">
        <v>367</v>
      </c>
      <c r="D74" s="550" t="s">
        <v>369</v>
      </c>
      <c r="N74" s="668"/>
    </row>
    <row r="75" spans="1:14" s="55" customFormat="1" hidden="1" x14ac:dyDescent="0.2">
      <c r="A75" s="668"/>
      <c r="B75" s="668"/>
      <c r="C75" s="668"/>
      <c r="D75" s="668"/>
      <c r="E75" s="668"/>
      <c r="F75" s="668"/>
      <c r="G75" s="668"/>
      <c r="H75" s="668"/>
      <c r="I75" s="35"/>
      <c r="J75" s="668"/>
      <c r="K75" s="668"/>
      <c r="L75" s="668"/>
      <c r="M75" s="668"/>
      <c r="N75" s="668"/>
    </row>
    <row r="76" spans="1:14" s="55" customFormat="1" hidden="1" x14ac:dyDescent="0.2">
      <c r="A76" s="668"/>
      <c r="B76" s="668"/>
      <c r="C76" s="668"/>
      <c r="D76" s="668"/>
      <c r="E76" s="668"/>
      <c r="F76" s="668"/>
      <c r="G76" s="668"/>
      <c r="H76" s="668"/>
      <c r="I76" s="35"/>
      <c r="J76" s="668"/>
      <c r="K76" s="668"/>
      <c r="L76" s="668"/>
      <c r="M76" s="668"/>
      <c r="N76" s="668"/>
    </row>
    <row r="77" spans="1:14" s="55" customFormat="1" hidden="1" x14ac:dyDescent="0.2">
      <c r="A77" s="668"/>
      <c r="B77" s="668"/>
      <c r="C77" s="668"/>
      <c r="D77" s="668"/>
      <c r="E77" s="668"/>
      <c r="F77" s="668"/>
      <c r="G77" s="668"/>
      <c r="H77" s="668"/>
      <c r="I77" s="35"/>
      <c r="J77" s="668"/>
      <c r="K77" s="668"/>
      <c r="L77" s="668"/>
      <c r="M77" s="668"/>
      <c r="N77" s="668"/>
    </row>
    <row r="78" spans="1:14" s="55" customFormat="1" hidden="1" x14ac:dyDescent="0.2">
      <c r="A78" s="668"/>
      <c r="B78" s="668"/>
      <c r="C78" s="668"/>
      <c r="D78" s="668"/>
      <c r="E78" s="668"/>
      <c r="F78" s="668"/>
      <c r="G78" s="668"/>
      <c r="H78" s="668"/>
      <c r="I78" s="35"/>
      <c r="J78" s="668"/>
      <c r="K78" s="668"/>
      <c r="L78" s="668"/>
      <c r="M78" s="668"/>
      <c r="N78" s="668"/>
    </row>
    <row r="79" spans="1:14" s="55" customFormat="1" hidden="1" x14ac:dyDescent="0.2">
      <c r="A79" s="668"/>
      <c r="B79" s="668"/>
      <c r="C79" s="668"/>
      <c r="D79" s="668"/>
      <c r="E79" s="668"/>
      <c r="F79" s="668"/>
      <c r="G79" s="668"/>
      <c r="H79" s="668"/>
      <c r="I79" s="35"/>
      <c r="J79" s="668"/>
      <c r="K79" s="668"/>
      <c r="L79" s="668"/>
      <c r="M79" s="668"/>
      <c r="N79" s="668"/>
    </row>
    <row r="80" spans="1:14" s="55" customFormat="1" hidden="1" x14ac:dyDescent="0.2">
      <c r="A80" s="668"/>
      <c r="B80" s="668"/>
      <c r="C80" s="668"/>
      <c r="D80" s="668"/>
      <c r="E80" s="668"/>
      <c r="F80" s="668"/>
      <c r="G80" s="668"/>
      <c r="H80" s="668"/>
      <c r="I80" s="35"/>
      <c r="J80" s="668"/>
      <c r="K80" s="668"/>
      <c r="L80" s="668"/>
      <c r="M80" s="668"/>
      <c r="N80" s="668"/>
    </row>
    <row r="81" spans="1:14" s="55" customFormat="1" hidden="1" x14ac:dyDescent="0.2">
      <c r="A81" s="668"/>
      <c r="B81" s="668"/>
      <c r="C81" s="668"/>
      <c r="D81" s="668"/>
      <c r="E81" s="668"/>
      <c r="F81" s="668"/>
      <c r="G81" s="668"/>
      <c r="H81" s="668"/>
      <c r="I81" s="35"/>
      <c r="J81" s="668"/>
      <c r="K81" s="668"/>
      <c r="L81" s="668"/>
      <c r="M81" s="668"/>
      <c r="N81" s="668"/>
    </row>
    <row r="82" spans="1:14" s="55" customFormat="1" hidden="1" x14ac:dyDescent="0.2">
      <c r="A82" s="668"/>
      <c r="B82" s="668"/>
      <c r="C82" s="668"/>
      <c r="D82" s="668"/>
      <c r="E82" s="668"/>
      <c r="F82" s="668"/>
      <c r="G82" s="668"/>
      <c r="H82" s="668"/>
      <c r="I82" s="35"/>
      <c r="J82" s="668"/>
      <c r="K82" s="668"/>
      <c r="L82" s="668"/>
      <c r="M82" s="668"/>
      <c r="N82" s="668"/>
    </row>
    <row r="83" spans="1:14" s="55" customFormat="1" hidden="1" x14ac:dyDescent="0.2">
      <c r="A83" s="668"/>
      <c r="B83" s="668"/>
      <c r="C83" s="668"/>
      <c r="D83" s="668"/>
      <c r="E83" s="668"/>
      <c r="F83" s="668"/>
      <c r="G83" s="668"/>
      <c r="H83" s="668"/>
      <c r="I83" s="35"/>
      <c r="J83" s="668"/>
      <c r="K83" s="668"/>
      <c r="L83" s="668"/>
      <c r="M83" s="668"/>
      <c r="N83" s="668"/>
    </row>
    <row r="84" spans="1:14" s="55" customFormat="1" hidden="1" x14ac:dyDescent="0.2">
      <c r="A84" s="668"/>
      <c r="B84" s="668"/>
      <c r="C84" s="668"/>
      <c r="D84" s="668"/>
      <c r="E84" s="668"/>
      <c r="F84" s="668"/>
      <c r="G84" s="668"/>
      <c r="H84" s="668"/>
      <c r="I84" s="35"/>
      <c r="J84" s="668"/>
      <c r="K84" s="668"/>
      <c r="L84" s="668"/>
      <c r="M84" s="668"/>
      <c r="N84" s="668"/>
    </row>
    <row r="85" spans="1:14" s="55" customFormat="1" hidden="1" x14ac:dyDescent="0.2">
      <c r="A85" s="668"/>
      <c r="B85" s="668"/>
      <c r="C85" s="668"/>
      <c r="D85" s="668"/>
      <c r="E85" s="668"/>
      <c r="F85" s="668"/>
      <c r="G85" s="668"/>
      <c r="H85" s="668"/>
      <c r="I85" s="35"/>
      <c r="J85" s="668"/>
      <c r="K85" s="668"/>
      <c r="L85" s="668"/>
      <c r="M85" s="668"/>
      <c r="N85" s="668"/>
    </row>
    <row r="86" spans="1:14" s="55" customFormat="1" hidden="1" x14ac:dyDescent="0.2">
      <c r="A86" s="668"/>
      <c r="B86" s="668"/>
      <c r="C86" s="668"/>
      <c r="D86" s="668"/>
      <c r="E86" s="668"/>
      <c r="F86" s="668"/>
      <c r="G86" s="668"/>
      <c r="H86" s="668"/>
      <c r="I86" s="35"/>
      <c r="J86" s="668"/>
      <c r="K86" s="668"/>
      <c r="L86" s="668"/>
      <c r="M86" s="668"/>
      <c r="N86" s="668"/>
    </row>
    <row r="87" spans="1:14" s="55" customFormat="1" hidden="1" x14ac:dyDescent="0.2">
      <c r="A87" s="668"/>
      <c r="B87" s="668"/>
      <c r="C87" s="668"/>
      <c r="D87" s="668"/>
      <c r="E87" s="668"/>
      <c r="F87" s="668"/>
      <c r="G87" s="668"/>
      <c r="H87" s="668"/>
      <c r="I87" s="35"/>
      <c r="J87" s="668"/>
      <c r="K87" s="668"/>
      <c r="L87" s="668"/>
      <c r="M87" s="668"/>
      <c r="N87" s="668"/>
    </row>
    <row r="88" spans="1:14" s="55" customFormat="1" hidden="1" x14ac:dyDescent="0.2">
      <c r="A88" s="668"/>
      <c r="B88" s="668"/>
      <c r="C88" s="668"/>
      <c r="D88" s="668"/>
      <c r="E88" s="668"/>
      <c r="F88" s="668"/>
      <c r="G88" s="668"/>
      <c r="H88" s="668"/>
      <c r="I88" s="35"/>
      <c r="J88" s="668"/>
      <c r="K88" s="668"/>
      <c r="L88" s="668"/>
      <c r="M88" s="668"/>
      <c r="N88" s="668"/>
    </row>
    <row r="89" spans="1:14" s="55" customFormat="1" hidden="1" x14ac:dyDescent="0.2">
      <c r="A89" s="668"/>
      <c r="B89" s="668"/>
      <c r="C89" s="668"/>
      <c r="D89" s="668"/>
      <c r="E89" s="668"/>
      <c r="F89" s="668"/>
      <c r="G89" s="668"/>
      <c r="H89" s="668"/>
      <c r="I89" s="35"/>
      <c r="J89" s="668"/>
      <c r="K89" s="668"/>
      <c r="L89" s="668"/>
      <c r="M89" s="668"/>
      <c r="N89" s="668"/>
    </row>
    <row r="90" spans="1:14" s="55" customFormat="1" hidden="1" x14ac:dyDescent="0.2">
      <c r="A90" s="668"/>
      <c r="B90" s="668"/>
      <c r="C90" s="668"/>
      <c r="D90" s="668"/>
      <c r="E90" s="668"/>
      <c r="F90" s="668"/>
      <c r="G90" s="668"/>
      <c r="H90" s="668"/>
      <c r="I90" s="35"/>
      <c r="J90" s="668"/>
      <c r="K90" s="668"/>
      <c r="L90" s="668"/>
      <c r="M90" s="668"/>
      <c r="N90" s="668"/>
    </row>
    <row r="91" spans="1:14" s="55" customFormat="1" hidden="1" x14ac:dyDescent="0.2">
      <c r="A91" s="668"/>
      <c r="B91" s="668"/>
      <c r="C91" s="668"/>
      <c r="D91" s="668"/>
      <c r="E91" s="668"/>
      <c r="F91" s="668"/>
      <c r="G91" s="668"/>
      <c r="H91" s="668"/>
      <c r="I91" s="35"/>
      <c r="J91" s="668"/>
      <c r="K91" s="668"/>
      <c r="L91" s="668"/>
      <c r="M91" s="668"/>
      <c r="N91" s="668"/>
    </row>
    <row r="92" spans="1:14" s="55" customFormat="1" hidden="1" x14ac:dyDescent="0.2">
      <c r="A92" s="668"/>
      <c r="B92" s="668"/>
      <c r="C92" s="668"/>
      <c r="D92" s="668"/>
      <c r="E92" s="668"/>
      <c r="F92" s="668"/>
      <c r="G92" s="668"/>
      <c r="H92" s="668"/>
      <c r="I92" s="35"/>
      <c r="J92" s="668"/>
      <c r="K92" s="668"/>
      <c r="L92" s="668"/>
      <c r="M92" s="668"/>
      <c r="N92" s="668"/>
    </row>
    <row r="93" spans="1:14" s="55" customFormat="1" hidden="1" x14ac:dyDescent="0.2">
      <c r="A93" s="668"/>
      <c r="B93" s="668"/>
      <c r="C93" s="668"/>
      <c r="D93" s="668"/>
      <c r="E93" s="668"/>
      <c r="F93" s="668"/>
      <c r="G93" s="668"/>
      <c r="H93" s="668"/>
      <c r="I93" s="35"/>
      <c r="J93" s="668"/>
      <c r="K93" s="668"/>
      <c r="L93" s="668"/>
      <c r="M93" s="668"/>
      <c r="N93" s="668"/>
    </row>
    <row r="94" spans="1:14" s="55" customFormat="1" hidden="1" x14ac:dyDescent="0.2">
      <c r="A94" s="668"/>
      <c r="B94" s="668"/>
      <c r="C94" s="668"/>
      <c r="D94" s="668"/>
      <c r="E94" s="668"/>
      <c r="F94" s="668"/>
      <c r="G94" s="668"/>
      <c r="H94" s="668"/>
      <c r="I94" s="35"/>
      <c r="J94" s="668"/>
      <c r="K94" s="668"/>
      <c r="L94" s="668"/>
      <c r="M94" s="668"/>
      <c r="N94" s="668"/>
    </row>
    <row r="95" spans="1:14" s="552" customFormat="1" hidden="1" x14ac:dyDescent="0.2">
      <c r="A95" s="668"/>
      <c r="B95" s="668"/>
      <c r="C95" s="668"/>
      <c r="D95" s="668"/>
      <c r="E95" s="668"/>
      <c r="F95" s="668"/>
      <c r="G95" s="668"/>
      <c r="H95" s="668"/>
      <c r="I95" s="35"/>
      <c r="J95" s="668"/>
      <c r="K95" s="668"/>
      <c r="L95" s="668"/>
      <c r="M95" s="668"/>
      <c r="N95" s="668"/>
    </row>
    <row r="96" spans="1:14" hidden="1" x14ac:dyDescent="0.2">
      <c r="A96" s="668"/>
      <c r="B96" s="668"/>
      <c r="C96" s="668"/>
      <c r="D96" s="668"/>
      <c r="E96" s="668"/>
      <c r="F96" s="668"/>
      <c r="G96" s="668"/>
      <c r="H96" s="668"/>
      <c r="I96" s="35"/>
      <c r="J96" s="668"/>
      <c r="K96" s="668"/>
      <c r="L96" s="668"/>
      <c r="M96" s="668"/>
      <c r="N96" s="668"/>
    </row>
    <row r="97" spans="1:14" hidden="1" x14ac:dyDescent="0.2">
      <c r="A97" s="668"/>
      <c r="B97" s="668"/>
      <c r="C97" s="668"/>
      <c r="D97" s="668"/>
      <c r="E97" s="668"/>
      <c r="F97" s="668"/>
      <c r="G97" s="668"/>
      <c r="H97" s="668"/>
      <c r="I97" s="35"/>
      <c r="J97" s="668"/>
      <c r="K97" s="668"/>
      <c r="L97" s="668"/>
      <c r="M97" s="668"/>
      <c r="N97" s="668"/>
    </row>
    <row r="98" spans="1:14" x14ac:dyDescent="0.2">
      <c r="A98" s="668"/>
      <c r="B98" s="668"/>
      <c r="C98" s="668"/>
      <c r="D98" s="668"/>
      <c r="E98" s="668"/>
      <c r="F98" s="668"/>
      <c r="G98" s="668"/>
      <c r="H98" s="668"/>
      <c r="I98" s="35"/>
      <c r="J98" s="668"/>
      <c r="K98" s="668"/>
      <c r="L98" s="668"/>
      <c r="M98" s="668"/>
      <c r="N98" s="668"/>
    </row>
    <row r="99" spans="1:14" x14ac:dyDescent="0.2">
      <c r="A99" s="553" t="s">
        <v>498</v>
      </c>
      <c r="B99" s="554"/>
      <c r="C99" s="525"/>
      <c r="D99" s="525"/>
      <c r="E99" s="525"/>
      <c r="F99" s="527"/>
      <c r="G99" s="550"/>
      <c r="H99" s="55"/>
      <c r="I99" s="35"/>
      <c r="J99" s="668"/>
      <c r="K99" s="668"/>
      <c r="L99" s="32"/>
      <c r="M99" s="668"/>
      <c r="N99" s="668"/>
    </row>
    <row r="100" spans="1:14" x14ac:dyDescent="0.2">
      <c r="A100" s="55"/>
      <c r="B100" s="55"/>
      <c r="C100" s="55"/>
      <c r="D100" s="55"/>
      <c r="E100" s="55"/>
      <c r="F100" s="55"/>
      <c r="G100" s="55"/>
      <c r="H100" s="55"/>
      <c r="I100" s="35"/>
      <c r="J100" s="668"/>
      <c r="K100" s="668"/>
      <c r="M100" s="668"/>
      <c r="N100" s="668"/>
    </row>
    <row r="101" spans="1:14" x14ac:dyDescent="0.2">
      <c r="A101" s="555" t="s">
        <v>378</v>
      </c>
      <c r="B101" s="556" t="str">
        <f>IFERROR(INDEX(B$1:B$100,MATCH(A101,I$1:I$100,0)),"")</f>
        <v>Tõnu Kapper</v>
      </c>
      <c r="C101" s="557">
        <v>5</v>
      </c>
      <c r="D101" s="55"/>
      <c r="E101" s="55"/>
      <c r="F101" s="55"/>
      <c r="G101" s="55"/>
      <c r="H101" s="55"/>
      <c r="I101" s="35"/>
      <c r="J101" s="668"/>
      <c r="K101" s="668"/>
      <c r="M101" s="668"/>
      <c r="N101" s="668"/>
    </row>
    <row r="102" spans="1:14" x14ac:dyDescent="0.2">
      <c r="A102" s="558"/>
      <c r="B102" s="644"/>
      <c r="C102" s="560" t="str">
        <f>IF(COUNT(C101,C103)=2,IF(C101&gt;C103,B101,B103),"")</f>
        <v>Elmo Lageda</v>
      </c>
      <c r="D102" s="55"/>
      <c r="E102" s="915">
        <v>13</v>
      </c>
      <c r="F102" s="55"/>
      <c r="G102" s="55"/>
      <c r="H102" s="55"/>
      <c r="I102" s="55"/>
      <c r="J102" s="668"/>
      <c r="K102" s="668"/>
      <c r="L102" s="32"/>
      <c r="M102" s="668"/>
      <c r="N102" s="668"/>
    </row>
    <row r="103" spans="1:14" x14ac:dyDescent="0.2">
      <c r="A103" s="558" t="s">
        <v>379</v>
      </c>
      <c r="B103" s="561" t="str">
        <f>IFERROR(INDEX(B$1:B$100,MATCH(A103,I$1:I$100,0)),"")</f>
        <v>Elmo Lageda</v>
      </c>
      <c r="C103" s="562">
        <v>13</v>
      </c>
      <c r="D103" s="645"/>
      <c r="E103" s="55"/>
      <c r="F103" s="55"/>
      <c r="G103" s="55"/>
      <c r="H103" s="55"/>
      <c r="I103" s="55"/>
      <c r="J103" s="668"/>
      <c r="K103" s="668"/>
      <c r="M103" s="668"/>
      <c r="N103" s="668"/>
    </row>
    <row r="104" spans="1:14" x14ac:dyDescent="0.2">
      <c r="A104" s="558"/>
      <c r="B104" s="539"/>
      <c r="C104" s="55"/>
      <c r="D104" s="564"/>
      <c r="E104" s="560" t="str">
        <f>IF(COUNT(E102,E106)=2,IF(E102&gt;E106,C102,C106),"")</f>
        <v>Elmo Lageda</v>
      </c>
      <c r="F104" s="55"/>
      <c r="G104" s="557">
        <v>13</v>
      </c>
      <c r="H104" s="55"/>
      <c r="I104" s="55"/>
      <c r="J104" s="668"/>
      <c r="K104" s="668"/>
      <c r="M104" s="668"/>
      <c r="N104" s="668"/>
    </row>
    <row r="105" spans="1:14" x14ac:dyDescent="0.2">
      <c r="A105" s="558" t="s">
        <v>380</v>
      </c>
      <c r="B105" s="556" t="str">
        <f>IFERROR(INDEX(B$1:B$100,MATCH(A105,I$1:I$100,0)),"")</f>
        <v>Andres Veski</v>
      </c>
      <c r="C105" s="557">
        <v>6</v>
      </c>
      <c r="D105" s="564"/>
      <c r="E105" s="565"/>
      <c r="F105" s="645"/>
      <c r="G105" s="55"/>
      <c r="H105" s="55"/>
      <c r="I105" s="55"/>
      <c r="J105" s="668"/>
      <c r="K105" s="668"/>
      <c r="M105" s="668"/>
      <c r="N105" s="668"/>
    </row>
    <row r="106" spans="1:14" x14ac:dyDescent="0.2">
      <c r="A106" s="558"/>
      <c r="B106" s="644"/>
      <c r="C106" s="560" t="str">
        <f>IF(COUNT(C105,C107)=2,IF(C105&gt;C107,B105,B107),"")</f>
        <v>Boriss Klubov</v>
      </c>
      <c r="D106" s="566"/>
      <c r="E106" s="562">
        <v>11</v>
      </c>
      <c r="F106" s="564"/>
      <c r="G106" s="55"/>
      <c r="H106" s="55"/>
      <c r="I106" s="55"/>
      <c r="J106" s="668"/>
      <c r="K106" s="668"/>
      <c r="L106" s="32"/>
      <c r="M106" s="668"/>
      <c r="N106" s="668"/>
    </row>
    <row r="107" spans="1:14" x14ac:dyDescent="0.2">
      <c r="A107" s="558" t="s">
        <v>381</v>
      </c>
      <c r="B107" s="561" t="str">
        <f>IFERROR(INDEX(B$1:B$100,MATCH(A107,I$1:I$100,0)),"")</f>
        <v>Boriss Klubov</v>
      </c>
      <c r="C107" s="562">
        <v>13</v>
      </c>
      <c r="D107" s="55"/>
      <c r="E107" s="554"/>
      <c r="F107" s="564"/>
      <c r="G107" s="55"/>
      <c r="H107" s="55"/>
      <c r="I107" s="55"/>
      <c r="J107" s="668"/>
      <c r="K107" s="668"/>
      <c r="M107" s="668"/>
      <c r="N107" s="668"/>
    </row>
    <row r="108" spans="1:14" ht="13.5" thickBot="1" x14ac:dyDescent="0.25">
      <c r="A108" s="538"/>
      <c r="B108" s="539"/>
      <c r="C108" s="55"/>
      <c r="D108" s="55"/>
      <c r="E108" s="554"/>
      <c r="F108" s="564"/>
      <c r="G108" s="55"/>
      <c r="H108" s="567" t="str">
        <f>IF(COUNT(G104,G112)=2,IF(G104&gt;G112,E104,E112),"")</f>
        <v>Elmo Lageda</v>
      </c>
      <c r="I108" s="55"/>
      <c r="J108" s="668"/>
      <c r="K108" s="668"/>
      <c r="L108" s="32"/>
      <c r="M108" s="668"/>
      <c r="N108" s="668"/>
    </row>
    <row r="109" spans="1:14" x14ac:dyDescent="0.2">
      <c r="A109" s="555" t="s">
        <v>382</v>
      </c>
      <c r="B109" s="556" t="str">
        <f>IFERROR(INDEX(B$1:B$100,MATCH(A109,I$1:I$100,0)),"")</f>
        <v>Vladimir Ogneštšikov</v>
      </c>
      <c r="C109" s="557">
        <v>7</v>
      </c>
      <c r="D109" s="55"/>
      <c r="E109" s="55"/>
      <c r="F109" s="564"/>
      <c r="G109" s="568"/>
      <c r="H109" s="569" t="s">
        <v>383</v>
      </c>
      <c r="I109" s="570"/>
      <c r="J109" s="668"/>
      <c r="K109" s="668"/>
      <c r="L109" s="32"/>
      <c r="M109" s="668"/>
      <c r="N109" s="668"/>
    </row>
    <row r="110" spans="1:14" x14ac:dyDescent="0.2">
      <c r="A110" s="558"/>
      <c r="B110" s="644"/>
      <c r="C110" s="560" t="str">
        <f>IF(COUNT(C109,C111)=2,IF(C109&gt;C111,B109,B111),"")</f>
        <v>Aarne Välja</v>
      </c>
      <c r="D110" s="55"/>
      <c r="E110" s="557">
        <v>11</v>
      </c>
      <c r="F110" s="564"/>
      <c r="G110" s="554"/>
      <c r="H110" s="55"/>
      <c r="I110" s="55"/>
      <c r="J110" s="668"/>
      <c r="K110" s="668"/>
      <c r="L110" s="32"/>
      <c r="M110" s="668"/>
      <c r="N110" s="668"/>
    </row>
    <row r="111" spans="1:14" x14ac:dyDescent="0.2">
      <c r="A111" s="558" t="s">
        <v>384</v>
      </c>
      <c r="B111" s="561" t="str">
        <f>IFERROR(INDEX(B$1:B$100,MATCH(A111,I$1:I$100,0)),"")</f>
        <v>Aarne Välja</v>
      </c>
      <c r="C111" s="562">
        <v>13</v>
      </c>
      <c r="D111" s="645"/>
      <c r="E111" s="55"/>
      <c r="F111" s="564"/>
      <c r="G111" s="554"/>
      <c r="H111" s="55"/>
      <c r="I111" s="55"/>
      <c r="J111" s="668"/>
      <c r="K111" s="668"/>
      <c r="L111" s="32"/>
      <c r="M111" s="668"/>
      <c r="N111" s="668"/>
    </row>
    <row r="112" spans="1:14" x14ac:dyDescent="0.2">
      <c r="A112" s="558"/>
      <c r="B112" s="539"/>
      <c r="C112" s="55"/>
      <c r="D112" s="564"/>
      <c r="E112" s="560" t="str">
        <f>IF(COUNT(E110,E114)=2,IF(E110&gt;E114,C110,C114),"")</f>
        <v>Tõnu Piik</v>
      </c>
      <c r="F112" s="566"/>
      <c r="G112" s="562">
        <v>11</v>
      </c>
      <c r="H112" s="55"/>
      <c r="I112" s="55"/>
      <c r="J112" s="668"/>
      <c r="K112" s="668"/>
      <c r="L112" s="32"/>
      <c r="M112" s="668"/>
      <c r="N112" s="668"/>
    </row>
    <row r="113" spans="1:14" ht="13.5" thickBot="1" x14ac:dyDescent="0.25">
      <c r="A113" s="558" t="s">
        <v>387</v>
      </c>
      <c r="B113" s="556" t="str">
        <f>IFERROR(INDEX(B$1:B$100,MATCH(A113,I$1:I$100,0)),"")</f>
        <v>Andrei Grintšak</v>
      </c>
      <c r="C113" s="557">
        <v>11</v>
      </c>
      <c r="D113" s="564"/>
      <c r="E113" s="565"/>
      <c r="F113" s="554"/>
      <c r="G113" s="554"/>
      <c r="H113" s="567" t="str">
        <f>IF(COUNT(G104,G112)=2,IF(G104&lt;G112,E104,E112),"")</f>
        <v>Tõnu Piik</v>
      </c>
      <c r="I113" s="571"/>
      <c r="J113" s="668"/>
      <c r="K113" s="668"/>
      <c r="L113" s="32"/>
      <c r="M113" s="668"/>
      <c r="N113" s="668"/>
    </row>
    <row r="114" spans="1:14" x14ac:dyDescent="0.2">
      <c r="A114" s="558"/>
      <c r="B114" s="644"/>
      <c r="C114" s="560" t="str">
        <f>IF(COUNT(C113,C115)=2,IF(C113&gt;C115,B113,B115),"")</f>
        <v>Tõnu Piik</v>
      </c>
      <c r="D114" s="566"/>
      <c r="E114" s="562">
        <v>13</v>
      </c>
      <c r="F114" s="55"/>
      <c r="G114" s="554"/>
      <c r="H114" s="569" t="s">
        <v>386</v>
      </c>
      <c r="I114" s="554"/>
      <c r="J114" s="668"/>
      <c r="K114" s="668"/>
      <c r="M114" s="668"/>
      <c r="N114" s="668"/>
    </row>
    <row r="115" spans="1:14" x14ac:dyDescent="0.2">
      <c r="A115" s="558" t="s">
        <v>385</v>
      </c>
      <c r="B115" s="561" t="str">
        <f>IFERROR(INDEX(B$1:B$100,MATCH(A115,I$1:I$100,0)),"")</f>
        <v>Tõnu Piik</v>
      </c>
      <c r="C115" s="562">
        <v>13</v>
      </c>
      <c r="D115" s="55"/>
      <c r="E115" s="554"/>
      <c r="F115" s="554"/>
      <c r="G115" s="554"/>
      <c r="H115" s="55"/>
      <c r="I115" s="55"/>
      <c r="J115" s="668"/>
      <c r="K115" s="668"/>
      <c r="M115" s="668"/>
      <c r="N115" s="668"/>
    </row>
    <row r="116" spans="1:14" x14ac:dyDescent="0.2">
      <c r="A116" s="538"/>
      <c r="B116" s="539"/>
      <c r="C116" s="55"/>
      <c r="D116" s="55"/>
      <c r="E116" s="551" t="str">
        <f>IF(COUNT(E102,E106)=2,IF(E102&lt;E106,C102,C106),"")</f>
        <v>Boriss Klubov</v>
      </c>
      <c r="F116" s="55"/>
      <c r="G116" s="557">
        <v>13</v>
      </c>
      <c r="H116" s="55"/>
      <c r="I116" s="55"/>
      <c r="J116" s="668"/>
      <c r="K116" s="668"/>
      <c r="L116" s="668"/>
      <c r="M116" s="668"/>
      <c r="N116" s="668"/>
    </row>
    <row r="117" spans="1:14" ht="13.5" thickBot="1" x14ac:dyDescent="0.25">
      <c r="A117" s="55"/>
      <c r="B117" s="55"/>
      <c r="C117" s="55"/>
      <c r="D117" s="55"/>
      <c r="E117" s="646"/>
      <c r="F117" s="645"/>
      <c r="G117" s="571"/>
      <c r="H117" s="567" t="str">
        <f>IF(COUNT(G116,G118)=2,IF(G116&gt;G118,E116,E118),"")</f>
        <v>Boriss Klubov</v>
      </c>
      <c r="I117" s="571"/>
      <c r="J117" s="668"/>
      <c r="K117" s="668"/>
      <c r="L117" s="668"/>
      <c r="M117" s="668"/>
      <c r="N117" s="668"/>
    </row>
    <row r="118" spans="1:14" x14ac:dyDescent="0.2">
      <c r="A118" s="55"/>
      <c r="B118" s="55"/>
      <c r="C118" s="55"/>
      <c r="D118" s="55"/>
      <c r="E118" s="572" t="str">
        <f>IF(COUNT(E110,E114)=2,IF(E110&lt;E114,C110,C114),"")</f>
        <v>Aarne Välja</v>
      </c>
      <c r="F118" s="566"/>
      <c r="G118" s="562">
        <v>9</v>
      </c>
      <c r="H118" s="523" t="s">
        <v>388</v>
      </c>
      <c r="I118" s="554"/>
      <c r="J118" s="668"/>
      <c r="K118" s="668"/>
      <c r="L118" s="668"/>
      <c r="M118" s="668"/>
      <c r="N118" s="668"/>
    </row>
    <row r="119" spans="1:14" x14ac:dyDescent="0.2">
      <c r="A119" s="55"/>
      <c r="B119" s="55"/>
      <c r="C119" s="55"/>
      <c r="D119" s="55"/>
      <c r="E119" s="55"/>
      <c r="F119" s="55"/>
      <c r="G119" s="55"/>
      <c r="H119" s="554"/>
      <c r="I119" s="554"/>
      <c r="J119" s="668"/>
      <c r="K119" s="668"/>
      <c r="L119" s="668"/>
      <c r="M119" s="668"/>
      <c r="N119" s="668"/>
    </row>
    <row r="120" spans="1:14" ht="13.5" thickBot="1" x14ac:dyDescent="0.25">
      <c r="A120" s="55"/>
      <c r="B120" s="55"/>
      <c r="C120" s="55"/>
      <c r="D120" s="55"/>
      <c r="E120" s="554"/>
      <c r="F120" s="554"/>
      <c r="G120" s="55"/>
      <c r="H120" s="567" t="str">
        <f>IF(COUNT(G116,G118)=2,IF(G116&lt;G118,E116,E118),"")</f>
        <v>Aarne Välja</v>
      </c>
      <c r="I120" s="571"/>
      <c r="J120" s="668"/>
      <c r="K120" s="668"/>
      <c r="L120" s="668"/>
      <c r="M120" s="668"/>
      <c r="N120" s="668"/>
    </row>
    <row r="121" spans="1:14" x14ac:dyDescent="0.2">
      <c r="A121" s="55"/>
      <c r="B121" s="55"/>
      <c r="C121" s="55"/>
      <c r="D121" s="55"/>
      <c r="E121" s="55"/>
      <c r="F121" s="55"/>
      <c r="G121" s="55"/>
      <c r="H121" s="538" t="s">
        <v>389</v>
      </c>
      <c r="I121" s="55"/>
      <c r="J121" s="668"/>
      <c r="K121" s="668"/>
      <c r="L121" s="668"/>
      <c r="M121" s="668"/>
      <c r="N121" s="668"/>
    </row>
    <row r="122" spans="1:14" x14ac:dyDescent="0.2">
      <c r="A122" s="55"/>
      <c r="B122" s="55"/>
      <c r="C122" s="572" t="str">
        <f>IF(COUNT(C101,C103)=2,IF(C101&lt;C103,B101,B103),"")</f>
        <v>Tõnu Kapper</v>
      </c>
      <c r="D122" s="55"/>
      <c r="E122" s="557">
        <v>6</v>
      </c>
      <c r="F122" s="557"/>
      <c r="G122" s="557"/>
      <c r="H122" s="55"/>
      <c r="I122" s="55"/>
      <c r="J122" s="668"/>
      <c r="K122" s="668"/>
      <c r="L122" s="668"/>
      <c r="M122" s="668"/>
      <c r="N122" s="668"/>
    </row>
    <row r="123" spans="1:14" x14ac:dyDescent="0.2">
      <c r="A123" s="55"/>
      <c r="B123" s="55"/>
      <c r="C123" s="647"/>
      <c r="D123" s="648"/>
      <c r="E123" s="560" t="str">
        <f>IF(COUNT(E122,E124)=2,IF(E122&gt;E124,C122,C124),"")</f>
        <v>Andres Veski</v>
      </c>
      <c r="F123" s="55"/>
      <c r="G123" s="651">
        <v>8</v>
      </c>
      <c r="H123" s="55"/>
      <c r="I123" s="55"/>
      <c r="J123" s="668"/>
      <c r="K123" s="668"/>
      <c r="L123" s="668"/>
      <c r="M123" s="668"/>
      <c r="N123" s="668"/>
    </row>
    <row r="124" spans="1:14" x14ac:dyDescent="0.2">
      <c r="A124" s="55"/>
      <c r="B124" s="55"/>
      <c r="C124" s="572" t="str">
        <f>IF(COUNT(C105,C107)=2,IF(C105&lt;C107,B105,B107),"")</f>
        <v>Andres Veski</v>
      </c>
      <c r="D124" s="574"/>
      <c r="E124" s="562">
        <v>13</v>
      </c>
      <c r="F124" s="648"/>
      <c r="G124" s="557"/>
      <c r="H124" s="55"/>
      <c r="I124" s="55"/>
      <c r="J124" s="668"/>
      <c r="K124" s="668"/>
      <c r="L124" s="668"/>
      <c r="M124" s="668"/>
      <c r="N124" s="668"/>
    </row>
    <row r="125" spans="1:14" ht="13.5" thickBot="1" x14ac:dyDescent="0.25">
      <c r="A125" s="55"/>
      <c r="B125" s="55"/>
      <c r="C125" s="557"/>
      <c r="D125" s="557"/>
      <c r="E125" s="55"/>
      <c r="F125" s="576"/>
      <c r="G125" s="557"/>
      <c r="H125" s="567" t="str">
        <f>IF(COUNT(G123,G127)=2,IF(G123&gt;G127,E123,E127),"")</f>
        <v>Andrei Grintšak</v>
      </c>
      <c r="I125" s="55"/>
      <c r="J125" s="668"/>
      <c r="K125" s="668"/>
      <c r="L125" s="668"/>
      <c r="M125" s="668"/>
      <c r="N125" s="668"/>
    </row>
    <row r="126" spans="1:14" x14ac:dyDescent="0.2">
      <c r="A126" s="55"/>
      <c r="B126" s="55"/>
      <c r="C126" s="572" t="str">
        <f>IF(COUNT(C109,C111)=2,IF(C109&lt;C111,B109,B111),"")</f>
        <v>Vladimir Ogneštšikov</v>
      </c>
      <c r="D126" s="557"/>
      <c r="E126" s="557">
        <v>7</v>
      </c>
      <c r="F126" s="576"/>
      <c r="G126" s="577"/>
      <c r="H126" s="569" t="s">
        <v>390</v>
      </c>
      <c r="I126" s="570"/>
      <c r="J126" s="668"/>
      <c r="K126" s="668"/>
      <c r="L126" s="668"/>
      <c r="M126" s="668"/>
      <c r="N126" s="668"/>
    </row>
    <row r="127" spans="1:14" x14ac:dyDescent="0.2">
      <c r="A127" s="55"/>
      <c r="B127" s="55"/>
      <c r="C127" s="647"/>
      <c r="D127" s="648"/>
      <c r="E127" s="560" t="str">
        <f>IF(COUNT(E126,E128)=2,IF(E126&gt;E128,C126,C128),"")</f>
        <v>Andrei Grintšak</v>
      </c>
      <c r="F127" s="566"/>
      <c r="G127" s="562">
        <v>13</v>
      </c>
      <c r="H127" s="55"/>
      <c r="I127" s="55"/>
      <c r="J127" s="668"/>
      <c r="K127" s="668"/>
      <c r="L127" s="668"/>
      <c r="M127" s="668"/>
      <c r="N127" s="668"/>
    </row>
    <row r="128" spans="1:14" ht="13.5" thickBot="1" x14ac:dyDescent="0.25">
      <c r="A128" s="55"/>
      <c r="B128" s="55"/>
      <c r="C128" s="572" t="str">
        <f>IF(COUNT(C113,C115)=2,IF(C113&lt;C115,B113,B115),"")</f>
        <v>Andrei Grintšak</v>
      </c>
      <c r="D128" s="574"/>
      <c r="E128" s="562">
        <v>13</v>
      </c>
      <c r="F128" s="557"/>
      <c r="G128" s="575"/>
      <c r="H128" s="567" t="str">
        <f>IF(COUNT(G123,G127)=2,IF(G123&lt;G127,E123,E127),"")</f>
        <v>Andres Veski</v>
      </c>
      <c r="I128" s="571"/>
      <c r="J128" s="668"/>
      <c r="K128" s="668"/>
      <c r="L128" s="668"/>
      <c r="M128" s="668"/>
      <c r="N128" s="668"/>
    </row>
    <row r="129" spans="1:14" x14ac:dyDescent="0.2">
      <c r="A129" s="55"/>
      <c r="B129" s="55"/>
      <c r="C129" s="557"/>
      <c r="D129" s="557"/>
      <c r="E129" s="557"/>
      <c r="F129" s="557"/>
      <c r="G129" s="575"/>
      <c r="H129" s="569" t="s">
        <v>391</v>
      </c>
      <c r="I129" s="554"/>
      <c r="J129" s="668"/>
      <c r="K129" s="668"/>
      <c r="L129" s="668"/>
      <c r="M129" s="668"/>
      <c r="N129" s="668"/>
    </row>
    <row r="130" spans="1:14" x14ac:dyDescent="0.2">
      <c r="A130" s="55"/>
      <c r="B130" s="55"/>
      <c r="C130" s="557"/>
      <c r="D130" s="575"/>
      <c r="E130" s="551" t="str">
        <f>IF(COUNT(E122,E124)=2,IF(E122&lt;E124,C122,C124),"")</f>
        <v>Tõnu Kapper</v>
      </c>
      <c r="F130" s="55"/>
      <c r="G130" s="557">
        <v>1</v>
      </c>
      <c r="H130" s="554"/>
      <c r="I130" s="554"/>
      <c r="J130" s="668"/>
      <c r="K130" s="668"/>
      <c r="L130" s="668"/>
      <c r="M130" s="668"/>
      <c r="N130" s="668"/>
    </row>
    <row r="131" spans="1:14" ht="13.5" thickBot="1" x14ac:dyDescent="0.25">
      <c r="A131" s="55"/>
      <c r="B131" s="55"/>
      <c r="C131" s="557"/>
      <c r="D131" s="575"/>
      <c r="E131" s="646"/>
      <c r="F131" s="645"/>
      <c r="G131" s="571"/>
      <c r="H131" s="567" t="str">
        <f>IF(COUNT(G130,G132)=2,IF(G130&gt;G132,E130,E132),"")</f>
        <v>Vladimir Ogneštšikov</v>
      </c>
      <c r="I131" s="571"/>
      <c r="J131" s="668"/>
      <c r="K131" s="668"/>
      <c r="L131" s="668"/>
      <c r="M131" s="668"/>
      <c r="N131" s="668"/>
    </row>
    <row r="132" spans="1:14" x14ac:dyDescent="0.2">
      <c r="A132" s="55"/>
      <c r="B132" s="55"/>
      <c r="C132" s="557"/>
      <c r="D132" s="575"/>
      <c r="E132" s="572" t="str">
        <f>IF(COUNT(E126,E128)=2,IF(E126&lt;E128,C126,C128),"")</f>
        <v>Vladimir Ogneštšikov</v>
      </c>
      <c r="F132" s="566"/>
      <c r="G132" s="562">
        <v>13</v>
      </c>
      <c r="H132" s="569" t="s">
        <v>392</v>
      </c>
      <c r="I132" s="554"/>
      <c r="J132" s="668"/>
      <c r="K132" s="668"/>
      <c r="L132" s="668"/>
      <c r="M132" s="668"/>
      <c r="N132" s="668"/>
    </row>
    <row r="133" spans="1:14" x14ac:dyDescent="0.2">
      <c r="A133" s="55"/>
      <c r="B133" s="55"/>
      <c r="C133" s="55"/>
      <c r="D133" s="554"/>
      <c r="E133" s="55"/>
      <c r="F133" s="55"/>
      <c r="G133" s="55"/>
      <c r="H133" s="554"/>
      <c r="I133" s="554"/>
      <c r="J133" s="668"/>
      <c r="K133" s="668"/>
      <c r="L133" s="668"/>
      <c r="M133" s="668"/>
      <c r="N133" s="668"/>
    </row>
    <row r="134" spans="1:14" ht="13.5" thickBot="1" x14ac:dyDescent="0.25">
      <c r="A134" s="55"/>
      <c r="B134" s="55"/>
      <c r="C134" s="55"/>
      <c r="D134" s="55"/>
      <c r="E134" s="554"/>
      <c r="F134" s="554"/>
      <c r="G134" s="55"/>
      <c r="H134" s="571" t="str">
        <f>IF(COUNT(G130,G132)=2,IF(G130&lt;G132,E130,E132),"")</f>
        <v>Tõnu Kapper</v>
      </c>
      <c r="I134" s="571"/>
      <c r="J134" s="668"/>
      <c r="K134" s="668"/>
      <c r="L134" s="668"/>
      <c r="M134" s="668"/>
      <c r="N134" s="668"/>
    </row>
    <row r="135" spans="1:14" x14ac:dyDescent="0.2">
      <c r="A135" s="578"/>
      <c r="B135" s="579"/>
      <c r="C135" s="527"/>
      <c r="D135" s="527"/>
      <c r="E135" s="527"/>
      <c r="F135" s="527"/>
      <c r="G135" s="528"/>
      <c r="H135" s="569" t="s">
        <v>393</v>
      </c>
      <c r="I135" s="506"/>
      <c r="J135" s="668"/>
      <c r="K135" s="668"/>
      <c r="L135" s="668"/>
      <c r="M135" s="668"/>
      <c r="N135" s="668"/>
    </row>
    <row r="136" spans="1:14" x14ac:dyDescent="0.2">
      <c r="A136" s="668"/>
      <c r="B136" s="668"/>
      <c r="C136" s="668"/>
      <c r="D136" s="668"/>
      <c r="E136" s="668"/>
      <c r="F136" s="668"/>
      <c r="G136" s="668"/>
      <c r="H136" s="668"/>
      <c r="I136" s="668"/>
      <c r="J136" s="668"/>
      <c r="K136" s="668"/>
      <c r="L136" s="668"/>
      <c r="M136" s="668"/>
      <c r="N136" s="668"/>
    </row>
    <row r="137" spans="1:14" x14ac:dyDescent="0.2">
      <c r="A137" s="553" t="s">
        <v>601</v>
      </c>
      <c r="B137" s="554"/>
      <c r="C137" s="525"/>
      <c r="D137" s="525"/>
      <c r="E137" s="525"/>
      <c r="F137" s="527"/>
      <c r="G137" s="550"/>
      <c r="H137" s="55"/>
      <c r="I137" s="35"/>
      <c r="J137" s="668"/>
      <c r="K137" s="668"/>
      <c r="L137" s="668"/>
      <c r="M137" s="668"/>
      <c r="N137" s="668"/>
    </row>
    <row r="138" spans="1:14" x14ac:dyDescent="0.2">
      <c r="A138" s="55"/>
      <c r="B138" s="55"/>
      <c r="C138" s="55"/>
      <c r="D138" s="55"/>
      <c r="E138" s="55"/>
      <c r="F138" s="55"/>
      <c r="G138" s="55"/>
      <c r="H138" s="55"/>
      <c r="I138" s="35"/>
      <c r="J138" s="668"/>
      <c r="K138" s="668"/>
      <c r="L138" s="668"/>
      <c r="M138" s="668"/>
      <c r="N138" s="668"/>
    </row>
    <row r="139" spans="1:14" x14ac:dyDescent="0.2">
      <c r="A139" s="555" t="s">
        <v>394</v>
      </c>
      <c r="B139" s="556" t="str">
        <f>IFERROR(INDEX(B$1:B$100,MATCH(A139,I$1:I$100,0)),"")</f>
        <v>Oksana Sažina</v>
      </c>
      <c r="C139" s="557">
        <v>13</v>
      </c>
      <c r="D139" s="55"/>
      <c r="E139" s="55"/>
      <c r="F139" s="55"/>
      <c r="G139" s="55"/>
      <c r="H139" s="55"/>
      <c r="I139" s="35"/>
      <c r="J139" s="668"/>
      <c r="K139" s="668"/>
      <c r="L139" s="668"/>
      <c r="M139" s="668"/>
      <c r="N139" s="668"/>
    </row>
    <row r="140" spans="1:14" x14ac:dyDescent="0.2">
      <c r="A140" s="592"/>
      <c r="B140" s="644"/>
      <c r="C140" s="560" t="str">
        <f>IF(COUNT(C139,C141)=2,IF(C139&gt;C141,B139,B141),"")</f>
        <v>Oksana Sažina</v>
      </c>
      <c r="D140" s="55"/>
      <c r="E140" s="915">
        <v>6</v>
      </c>
      <c r="F140" s="55"/>
      <c r="G140" s="55"/>
      <c r="H140" s="55"/>
      <c r="I140" s="55"/>
      <c r="J140" s="668"/>
      <c r="K140" s="668"/>
      <c r="L140" s="668"/>
      <c r="M140" s="668"/>
      <c r="N140" s="668"/>
    </row>
    <row r="141" spans="1:14" x14ac:dyDescent="0.2">
      <c r="A141" s="592" t="s">
        <v>502</v>
      </c>
      <c r="B141" s="561" t="str">
        <f>IFERROR(INDEX(B$1:B$100,MATCH(A141,I$1:I$100,0)),"")</f>
        <v>Mikk Neem</v>
      </c>
      <c r="C141" s="562">
        <v>2</v>
      </c>
      <c r="D141" s="645"/>
      <c r="E141" s="55"/>
      <c r="F141" s="55"/>
      <c r="G141" s="55"/>
      <c r="H141" s="55"/>
      <c r="I141" s="55"/>
      <c r="J141" s="668"/>
      <c r="K141" s="668"/>
      <c r="L141" s="668"/>
      <c r="M141" s="668"/>
      <c r="N141" s="668"/>
    </row>
    <row r="142" spans="1:14" x14ac:dyDescent="0.2">
      <c r="A142" s="592"/>
      <c r="B142" s="539"/>
      <c r="C142" s="55"/>
      <c r="D142" s="564"/>
      <c r="E142" s="560" t="str">
        <f>IF(COUNT(E140,E144)=2,IF(E140&gt;E144,C140,C144),"")</f>
        <v>Jaan Sepp</v>
      </c>
      <c r="F142" s="55"/>
      <c r="G142" s="557">
        <v>13</v>
      </c>
      <c r="H142" s="55"/>
      <c r="I142" s="55"/>
      <c r="J142" s="668"/>
      <c r="K142" s="668"/>
      <c r="L142" s="668"/>
      <c r="M142" s="668"/>
      <c r="N142" s="668"/>
    </row>
    <row r="143" spans="1:14" x14ac:dyDescent="0.2">
      <c r="A143" s="592" t="s">
        <v>396</v>
      </c>
      <c r="B143" s="556" t="str">
        <f>IFERROR(INDEX(B$1:B$100,MATCH(A143,I$1:I$100,0)),"")</f>
        <v>Jaan Sepp</v>
      </c>
      <c r="C143" s="557">
        <v>13</v>
      </c>
      <c r="D143" s="564"/>
      <c r="E143" s="565"/>
      <c r="F143" s="645"/>
      <c r="G143" s="55"/>
      <c r="H143" s="55"/>
      <c r="I143" s="55"/>
      <c r="J143" s="668"/>
      <c r="K143" s="668"/>
      <c r="L143" s="668"/>
      <c r="M143" s="668"/>
      <c r="N143" s="668"/>
    </row>
    <row r="144" spans="1:14" x14ac:dyDescent="0.2">
      <c r="A144" s="592"/>
      <c r="B144" s="644"/>
      <c r="C144" s="560" t="str">
        <f>IF(COUNT(C143,C145)=2,IF(C143&gt;C145,B143,B145),"")</f>
        <v>Jaan Sepp</v>
      </c>
      <c r="D144" s="566"/>
      <c r="E144" s="562">
        <v>13</v>
      </c>
      <c r="F144" s="564"/>
      <c r="G144" s="55"/>
      <c r="H144" s="55"/>
      <c r="I144" s="55"/>
      <c r="J144" s="668"/>
      <c r="K144" s="668"/>
      <c r="L144" s="668"/>
      <c r="M144" s="668"/>
      <c r="N144" s="668"/>
    </row>
    <row r="145" spans="1:14" x14ac:dyDescent="0.2">
      <c r="A145" s="592" t="s">
        <v>397</v>
      </c>
      <c r="B145" s="561" t="str">
        <f>IFERROR(INDEX(B$1:B$100,MATCH(A145,I$1:I$100,0)),"")</f>
        <v>Romek Tarto</v>
      </c>
      <c r="C145" s="650">
        <v>0</v>
      </c>
      <c r="D145" s="55"/>
      <c r="E145" s="554"/>
      <c r="F145" s="564"/>
      <c r="G145" s="55"/>
      <c r="H145" s="55"/>
      <c r="I145" s="55"/>
      <c r="J145" s="668"/>
      <c r="K145" s="668"/>
      <c r="L145" s="668"/>
      <c r="M145" s="668"/>
      <c r="N145" s="668"/>
    </row>
    <row r="146" spans="1:14" ht="13.5" thickBot="1" x14ac:dyDescent="0.25">
      <c r="A146" s="593"/>
      <c r="B146" s="539"/>
      <c r="C146" s="55"/>
      <c r="D146" s="55"/>
      <c r="E146" s="554"/>
      <c r="F146" s="564"/>
      <c r="G146" s="55"/>
      <c r="H146" s="567" t="str">
        <f>IF(COUNT(G142,G150)=2,IF(G142&gt;G150,E142,E150),"")</f>
        <v>Jaan Sepp</v>
      </c>
      <c r="I146" s="55"/>
      <c r="J146" s="668"/>
      <c r="K146" s="668"/>
      <c r="L146" s="668"/>
      <c r="M146" s="668"/>
      <c r="N146" s="668"/>
    </row>
    <row r="147" spans="1:14" x14ac:dyDescent="0.2">
      <c r="A147" s="555" t="s">
        <v>398</v>
      </c>
      <c r="B147" s="556" t="str">
        <f>IFERROR(INDEX(B$1:B$100,MATCH(A147,I$1:I$100,0)),"")</f>
        <v>Lemmit Toomra</v>
      </c>
      <c r="C147" s="557">
        <v>5</v>
      </c>
      <c r="D147" s="55"/>
      <c r="E147" s="55"/>
      <c r="F147" s="564"/>
      <c r="G147" s="568"/>
      <c r="H147" s="569" t="s">
        <v>399</v>
      </c>
      <c r="I147" s="570"/>
      <c r="J147" s="668"/>
      <c r="K147" s="668"/>
      <c r="L147" s="668"/>
      <c r="M147" s="668"/>
      <c r="N147" s="668"/>
    </row>
    <row r="148" spans="1:14" x14ac:dyDescent="0.2">
      <c r="A148" s="592"/>
      <c r="B148" s="644"/>
      <c r="C148" s="560" t="str">
        <f>IF(COUNT(C147,C149)=2,IF(C147&gt;C149,B147,B149),"")</f>
        <v>Oleg Rõndenkov</v>
      </c>
      <c r="D148" s="55"/>
      <c r="E148" s="557">
        <v>13</v>
      </c>
      <c r="F148" s="564"/>
      <c r="G148" s="554"/>
      <c r="H148" s="55"/>
      <c r="I148" s="55"/>
      <c r="J148" s="668"/>
      <c r="K148" s="668"/>
      <c r="L148" s="668"/>
      <c r="M148" s="668"/>
      <c r="N148" s="668"/>
    </row>
    <row r="149" spans="1:14" x14ac:dyDescent="0.2">
      <c r="A149" s="592" t="s">
        <v>400</v>
      </c>
      <c r="B149" s="561" t="str">
        <f>IFERROR(INDEX(B$1:B$100,MATCH(A149,I$1:I$100,0)),"")</f>
        <v>Oleg Rõndenkov</v>
      </c>
      <c r="C149" s="562">
        <v>13</v>
      </c>
      <c r="D149" s="645"/>
      <c r="E149" s="55"/>
      <c r="F149" s="564"/>
      <c r="G149" s="554"/>
      <c r="H149" s="55"/>
      <c r="I149" s="55"/>
      <c r="J149" s="668"/>
      <c r="K149" s="668"/>
      <c r="L149" s="668"/>
      <c r="M149" s="668"/>
      <c r="N149" s="668"/>
    </row>
    <row r="150" spans="1:14" x14ac:dyDescent="0.2">
      <c r="A150" s="592"/>
      <c r="B150" s="539"/>
      <c r="C150" s="55"/>
      <c r="D150" s="564"/>
      <c r="E150" s="560" t="str">
        <f>IF(COUNT(E148,E152)=2,IF(E148&gt;E152,C148,C152),"")</f>
        <v>Oleg Rõndenkov</v>
      </c>
      <c r="F150" s="566"/>
      <c r="G150" s="562">
        <v>8</v>
      </c>
      <c r="H150" s="55"/>
      <c r="I150" s="55"/>
      <c r="J150" s="668"/>
      <c r="K150" s="668"/>
      <c r="L150" s="668"/>
      <c r="M150" s="668"/>
      <c r="N150" s="668"/>
    </row>
    <row r="151" spans="1:14" ht="13.5" thickBot="1" x14ac:dyDescent="0.25">
      <c r="A151" s="592" t="s">
        <v>403</v>
      </c>
      <c r="B151" s="556" t="str">
        <f>IFERROR(INDEX(B$1:B$100,MATCH(A151,I$1:I$100,0)),"")</f>
        <v>Ülo Piik</v>
      </c>
      <c r="C151" s="557">
        <v>13</v>
      </c>
      <c r="D151" s="564"/>
      <c r="E151" s="565"/>
      <c r="F151" s="554"/>
      <c r="G151" s="554"/>
      <c r="H151" s="567" t="str">
        <f>IF(COUNT(G142,G150)=2,IF(G142&lt;G150,E142,E150),"")</f>
        <v>Oleg Rõndenkov</v>
      </c>
      <c r="I151" s="571"/>
      <c r="J151" s="668"/>
      <c r="K151" s="668"/>
      <c r="L151" s="668"/>
      <c r="M151" s="668"/>
      <c r="N151" s="668"/>
    </row>
    <row r="152" spans="1:14" x14ac:dyDescent="0.2">
      <c r="A152" s="592"/>
      <c r="B152" s="644"/>
      <c r="C152" s="560" t="str">
        <f>IF(COUNT(C151,C153)=2,IF(C151&gt;C153,B151,B153),"")</f>
        <v>Ülo Piik</v>
      </c>
      <c r="D152" s="566"/>
      <c r="E152" s="562">
        <v>6</v>
      </c>
      <c r="F152" s="55"/>
      <c r="G152" s="554"/>
      <c r="H152" s="569" t="s">
        <v>402</v>
      </c>
      <c r="I152" s="554"/>
      <c r="J152" s="668"/>
      <c r="K152" s="668"/>
      <c r="L152" s="668"/>
      <c r="M152" s="668"/>
      <c r="N152" s="668"/>
    </row>
    <row r="153" spans="1:14" x14ac:dyDescent="0.2">
      <c r="A153" s="592" t="s">
        <v>401</v>
      </c>
      <c r="B153" s="561" t="str">
        <f>IFERROR(INDEX(B$1:B$100,MATCH(A153,I$1:I$100,0)),"")</f>
        <v>Kenneth Muusikus</v>
      </c>
      <c r="C153" s="848">
        <v>0</v>
      </c>
      <c r="D153" s="55"/>
      <c r="E153" s="554"/>
      <c r="F153" s="554"/>
      <c r="G153" s="554"/>
      <c r="H153" s="55"/>
      <c r="I153" s="55"/>
      <c r="J153" s="668"/>
      <c r="K153" s="668"/>
      <c r="L153" s="668"/>
      <c r="M153" s="668"/>
      <c r="N153" s="668"/>
    </row>
    <row r="154" spans="1:14" x14ac:dyDescent="0.2">
      <c r="A154" s="538"/>
      <c r="B154" s="539"/>
      <c r="C154" s="55"/>
      <c r="D154" s="55"/>
      <c r="E154" s="551" t="str">
        <f>IF(COUNT(E140,E144)=2,IF(E140&lt;E144,C140,C144),"")</f>
        <v>Oksana Sažina</v>
      </c>
      <c r="F154" s="55"/>
      <c r="G154" s="557">
        <v>9</v>
      </c>
      <c r="H154" s="55"/>
      <c r="I154" s="55"/>
      <c r="J154" s="668"/>
      <c r="K154" s="668"/>
      <c r="L154" s="668"/>
      <c r="M154" s="668"/>
      <c r="N154" s="668"/>
    </row>
    <row r="155" spans="1:14" ht="13.5" thickBot="1" x14ac:dyDescent="0.25">
      <c r="A155" s="55"/>
      <c r="B155" s="55"/>
      <c r="C155" s="55"/>
      <c r="D155" s="55"/>
      <c r="E155" s="646"/>
      <c r="F155" s="645"/>
      <c r="G155" s="571"/>
      <c r="H155" s="567" t="str">
        <f>IF(COUNT(G154,G156)=2,IF(G154&gt;G156,E154,E156),"")</f>
        <v>Ülo Piik</v>
      </c>
      <c r="I155" s="571"/>
      <c r="J155" s="668"/>
      <c r="K155" s="668"/>
      <c r="L155" s="668"/>
      <c r="M155" s="668"/>
      <c r="N155" s="668"/>
    </row>
    <row r="156" spans="1:14" x14ac:dyDescent="0.2">
      <c r="A156" s="55"/>
      <c r="B156" s="55"/>
      <c r="C156" s="55"/>
      <c r="D156" s="55"/>
      <c r="E156" s="572" t="str">
        <f>IF(COUNT(E148,E152)=2,IF(E148&lt;E152,C148,C152),"")</f>
        <v>Ülo Piik</v>
      </c>
      <c r="F156" s="566"/>
      <c r="G156" s="562">
        <v>13</v>
      </c>
      <c r="H156" s="523" t="s">
        <v>404</v>
      </c>
      <c r="I156" s="554"/>
      <c r="J156" s="668"/>
      <c r="K156" s="668"/>
      <c r="L156" s="668"/>
      <c r="M156" s="668"/>
      <c r="N156" s="668"/>
    </row>
    <row r="157" spans="1:14" x14ac:dyDescent="0.2">
      <c r="A157" s="55"/>
      <c r="B157" s="55"/>
      <c r="C157" s="55"/>
      <c r="D157" s="55"/>
      <c r="E157" s="55"/>
      <c r="F157" s="55"/>
      <c r="G157" s="55"/>
      <c r="H157" s="554"/>
      <c r="I157" s="554"/>
      <c r="J157" s="668"/>
      <c r="K157" s="668"/>
      <c r="L157" s="668"/>
      <c r="M157" s="668"/>
      <c r="N157" s="668"/>
    </row>
    <row r="158" spans="1:14" ht="13.5" thickBot="1" x14ac:dyDescent="0.25">
      <c r="A158" s="55"/>
      <c r="B158" s="55"/>
      <c r="C158" s="55"/>
      <c r="D158" s="55"/>
      <c r="E158" s="554"/>
      <c r="F158" s="554"/>
      <c r="G158" s="55"/>
      <c r="H158" s="567" t="str">
        <f>IF(COUNT(G154,G156)=2,IF(G154&lt;G156,E154,E156),"")</f>
        <v>Oksana Sažina</v>
      </c>
      <c r="I158" s="571"/>
      <c r="J158" s="668"/>
      <c r="K158" s="668"/>
      <c r="L158" s="668"/>
      <c r="M158" s="668"/>
      <c r="N158" s="668"/>
    </row>
    <row r="159" spans="1:14" x14ac:dyDescent="0.2">
      <c r="A159" s="55"/>
      <c r="B159" s="55"/>
      <c r="C159" s="55"/>
      <c r="D159" s="55"/>
      <c r="E159" s="55"/>
      <c r="F159" s="55"/>
      <c r="G159" s="55"/>
      <c r="H159" s="538" t="s">
        <v>405</v>
      </c>
      <c r="I159" s="55"/>
      <c r="J159" s="668"/>
      <c r="K159" s="668"/>
      <c r="L159" s="668"/>
      <c r="M159" s="668"/>
      <c r="N159" s="668"/>
    </row>
    <row r="160" spans="1:14" x14ac:dyDescent="0.2">
      <c r="A160" s="55"/>
      <c r="B160" s="55"/>
      <c r="C160" s="572" t="str">
        <f>IF(COUNT(C139,C141)=2,IF(C139&lt;C141,B139,B141),"")</f>
        <v>Mikk Neem</v>
      </c>
      <c r="D160" s="55"/>
      <c r="E160" s="557">
        <v>13</v>
      </c>
      <c r="F160" s="557"/>
      <c r="G160" s="557"/>
      <c r="H160" s="55"/>
      <c r="I160" s="55"/>
      <c r="J160" s="668"/>
      <c r="K160" s="668"/>
      <c r="L160" s="668"/>
      <c r="M160" s="668"/>
      <c r="N160" s="668"/>
    </row>
    <row r="161" spans="1:14" x14ac:dyDescent="0.2">
      <c r="A161" s="55"/>
      <c r="B161" s="55"/>
      <c r="C161" s="647"/>
      <c r="D161" s="648"/>
      <c r="E161" s="560" t="str">
        <f>IF(COUNT(E160,E162)=2,IF(E160&gt;E162,C160,C162),"")</f>
        <v>Mikk Neem</v>
      </c>
      <c r="F161" s="55"/>
      <c r="G161" s="557">
        <v>4</v>
      </c>
      <c r="H161" s="55"/>
      <c r="I161" s="55"/>
      <c r="J161" s="668"/>
      <c r="K161" s="668"/>
      <c r="L161" s="668"/>
      <c r="M161" s="668"/>
      <c r="N161" s="668"/>
    </row>
    <row r="162" spans="1:14" x14ac:dyDescent="0.2">
      <c r="A162" s="55"/>
      <c r="B162" s="55"/>
      <c r="C162" s="572" t="str">
        <f>IF(COUNT(C143,C145)=2,IF(C143&lt;C145,B143,B145),"")</f>
        <v>Romek Tarto</v>
      </c>
      <c r="D162" s="574"/>
      <c r="E162" s="562">
        <v>1</v>
      </c>
      <c r="F162" s="648"/>
      <c r="G162" s="557"/>
      <c r="H162" s="55"/>
      <c r="I162" s="55"/>
      <c r="J162" s="668"/>
      <c r="K162" s="668"/>
      <c r="L162" s="668"/>
      <c r="M162" s="668"/>
      <c r="N162" s="668"/>
    </row>
    <row r="163" spans="1:14" ht="13.5" thickBot="1" x14ac:dyDescent="0.25">
      <c r="A163" s="55"/>
      <c r="B163" s="55"/>
      <c r="C163" s="557"/>
      <c r="D163" s="557"/>
      <c r="E163" s="55"/>
      <c r="F163" s="576"/>
      <c r="G163" s="557"/>
      <c r="H163" s="567" t="str">
        <f>IF(COUNT(G161,G165)=2,IF(G161&gt;G165,E161,E165),"")</f>
        <v>Lemmit Toomra</v>
      </c>
      <c r="I163" s="55"/>
      <c r="J163" s="668"/>
      <c r="K163" s="668"/>
      <c r="L163" s="668"/>
      <c r="M163" s="668"/>
      <c r="N163" s="668"/>
    </row>
    <row r="164" spans="1:14" x14ac:dyDescent="0.2">
      <c r="A164" s="55"/>
      <c r="B164" s="55"/>
      <c r="C164" s="572" t="str">
        <f>IF(COUNT(C147,C149)=2,IF(C147&lt;C149,B147,B149),"")</f>
        <v>Lemmit Toomra</v>
      </c>
      <c r="D164" s="557"/>
      <c r="E164" s="557">
        <v>13</v>
      </c>
      <c r="F164" s="576"/>
      <c r="G164" s="577"/>
      <c r="H164" s="569" t="s">
        <v>406</v>
      </c>
      <c r="I164" s="570"/>
      <c r="J164" s="668"/>
      <c r="K164" s="668"/>
      <c r="L164" s="668"/>
      <c r="M164" s="668"/>
      <c r="N164" s="668"/>
    </row>
    <row r="165" spans="1:14" x14ac:dyDescent="0.2">
      <c r="A165" s="55"/>
      <c r="B165" s="55"/>
      <c r="C165" s="647"/>
      <c r="D165" s="648"/>
      <c r="E165" s="560" t="str">
        <f>IF(COUNT(E164,E166)=2,IF(E164&gt;E166,C164,C166),"")</f>
        <v>Lemmit Toomra</v>
      </c>
      <c r="F165" s="566"/>
      <c r="G165" s="562">
        <v>13</v>
      </c>
      <c r="H165" s="55"/>
      <c r="I165" s="55"/>
      <c r="J165" s="668"/>
      <c r="K165" s="668"/>
      <c r="L165" s="668"/>
      <c r="M165" s="668"/>
      <c r="N165" s="668"/>
    </row>
    <row r="166" spans="1:14" ht="13.5" thickBot="1" x14ac:dyDescent="0.25">
      <c r="A166" s="55"/>
      <c r="B166" s="55"/>
      <c r="C166" s="572" t="str">
        <f>IF(COUNT(C151,C153)=2,IF(C151&lt;C153,B151,B153),"")</f>
        <v>Kenneth Muusikus</v>
      </c>
      <c r="D166" s="574"/>
      <c r="E166" s="562">
        <v>1</v>
      </c>
      <c r="F166" s="557"/>
      <c r="G166" s="575"/>
      <c r="H166" s="567" t="str">
        <f>IF(COUNT(G161,G165)=2,IF(G161&lt;G165,E161,E165),"")</f>
        <v>Mikk Neem</v>
      </c>
      <c r="I166" s="571"/>
      <c r="J166" s="668"/>
      <c r="K166" s="668"/>
      <c r="L166" s="668"/>
      <c r="M166" s="668"/>
      <c r="N166" s="668"/>
    </row>
    <row r="167" spans="1:14" x14ac:dyDescent="0.2">
      <c r="A167" s="55"/>
      <c r="B167" s="55"/>
      <c r="C167" s="557"/>
      <c r="D167" s="557"/>
      <c r="E167" s="557"/>
      <c r="F167" s="557"/>
      <c r="G167" s="575"/>
      <c r="H167" s="569" t="s">
        <v>407</v>
      </c>
      <c r="I167" s="554"/>
      <c r="J167" s="668"/>
      <c r="K167" s="668"/>
      <c r="L167" s="668"/>
      <c r="M167" s="668"/>
      <c r="N167" s="668"/>
    </row>
    <row r="168" spans="1:14" x14ac:dyDescent="0.2">
      <c r="A168" s="55"/>
      <c r="B168" s="55"/>
      <c r="C168" s="557"/>
      <c r="D168" s="575"/>
      <c r="E168" s="551" t="str">
        <f>IF(COUNT(E160,E162)=2,IF(E160&lt;E162,C160,C162),"")</f>
        <v>Romek Tarto</v>
      </c>
      <c r="F168" s="55"/>
      <c r="G168" s="557"/>
      <c r="H168" s="554"/>
      <c r="I168" s="554"/>
      <c r="J168" s="668"/>
      <c r="K168" s="668"/>
      <c r="L168" s="668"/>
      <c r="M168" s="668"/>
      <c r="N168" s="668"/>
    </row>
    <row r="169" spans="1:14" ht="13.5" thickBot="1" x14ac:dyDescent="0.25">
      <c r="A169" s="55"/>
      <c r="B169" s="55"/>
      <c r="C169" s="557"/>
      <c r="D169" s="575"/>
      <c r="E169" s="646"/>
      <c r="F169" s="645"/>
      <c r="G169" s="571"/>
      <c r="H169" s="567" t="s">
        <v>209</v>
      </c>
      <c r="I169" s="571"/>
      <c r="J169" s="668"/>
      <c r="K169" s="668"/>
      <c r="L169" s="668"/>
      <c r="M169" s="668"/>
      <c r="N169" s="668"/>
    </row>
    <row r="170" spans="1:14" x14ac:dyDescent="0.2">
      <c r="A170" s="55"/>
      <c r="B170" s="55"/>
      <c r="C170" s="557"/>
      <c r="D170" s="575"/>
      <c r="E170" s="572" t="str">
        <f>IF(COUNT(E164,E166)=2,IF(E164&lt;E166,C164,C166),"")</f>
        <v>Kenneth Muusikus</v>
      </c>
      <c r="F170" s="566"/>
      <c r="G170" s="858" t="s">
        <v>173</v>
      </c>
      <c r="H170" s="569" t="s">
        <v>408</v>
      </c>
      <c r="I170" s="554"/>
      <c r="J170" s="668"/>
      <c r="K170" s="668"/>
      <c r="L170" s="668"/>
      <c r="M170" s="668"/>
      <c r="N170" s="668"/>
    </row>
    <row r="171" spans="1:14" x14ac:dyDescent="0.2">
      <c r="A171" s="55"/>
      <c r="B171" s="55"/>
      <c r="C171" s="55"/>
      <c r="D171" s="554"/>
      <c r="E171" s="55"/>
      <c r="F171" s="55"/>
      <c r="G171" s="55"/>
      <c r="H171" s="554"/>
      <c r="I171" s="554"/>
      <c r="J171" s="668"/>
      <c r="K171" s="668"/>
      <c r="L171" s="668"/>
      <c r="M171" s="668"/>
      <c r="N171" s="668"/>
    </row>
    <row r="172" spans="1:14" ht="13.5" thickBot="1" x14ac:dyDescent="0.25">
      <c r="A172" s="55"/>
      <c r="B172" s="55"/>
      <c r="C172" s="55"/>
      <c r="D172" s="55"/>
      <c r="E172" s="554"/>
      <c r="F172" s="554"/>
      <c r="G172" s="55"/>
      <c r="H172" s="567" t="s">
        <v>206</v>
      </c>
      <c r="I172" s="571"/>
      <c r="J172" s="668"/>
      <c r="K172" s="668"/>
      <c r="L172" s="668"/>
      <c r="M172" s="668"/>
      <c r="N172" s="668"/>
    </row>
    <row r="173" spans="1:14" x14ac:dyDescent="0.2">
      <c r="A173" s="578"/>
      <c r="B173" s="579"/>
      <c r="C173" s="527"/>
      <c r="D173" s="527"/>
      <c r="E173" s="527"/>
      <c r="F173" s="527"/>
      <c r="G173" s="528"/>
      <c r="H173" s="569" t="s">
        <v>408</v>
      </c>
      <c r="I173" s="506"/>
      <c r="J173" s="668"/>
      <c r="K173" s="668"/>
      <c r="L173" s="668"/>
      <c r="M173" s="668"/>
      <c r="N173" s="668"/>
    </row>
    <row r="174" spans="1:14" x14ac:dyDescent="0.2">
      <c r="A174" s="668"/>
      <c r="B174" s="668"/>
      <c r="C174" s="668"/>
      <c r="D174" s="668"/>
      <c r="E174" s="668"/>
      <c r="F174" s="668"/>
      <c r="G174" s="668"/>
      <c r="H174" s="668"/>
      <c r="I174" s="668"/>
      <c r="J174" s="668"/>
      <c r="K174" s="668"/>
      <c r="L174" s="668"/>
      <c r="M174" s="668"/>
      <c r="N174" s="668"/>
    </row>
    <row r="175" spans="1:14" ht="13.5" thickBot="1" x14ac:dyDescent="0.25">
      <c r="A175" s="668"/>
      <c r="B175" s="668"/>
      <c r="C175" s="668"/>
      <c r="D175" s="668"/>
      <c r="E175" s="668"/>
      <c r="F175" s="668"/>
      <c r="G175" s="640"/>
      <c r="H175" s="556" t="s">
        <v>90</v>
      </c>
      <c r="I175" s="571"/>
      <c r="J175" s="668"/>
      <c r="K175" s="668"/>
      <c r="L175" s="668"/>
      <c r="M175" s="668"/>
      <c r="N175" s="668"/>
    </row>
    <row r="176" spans="1:14" x14ac:dyDescent="0.2">
      <c r="A176" s="668"/>
      <c r="B176" s="668"/>
      <c r="C176" s="668"/>
      <c r="D176" s="668"/>
      <c r="E176" s="668"/>
      <c r="F176" s="668"/>
      <c r="G176" s="668"/>
      <c r="H176" s="569" t="s">
        <v>408</v>
      </c>
      <c r="I176" s="506"/>
      <c r="J176" s="668"/>
      <c r="K176" s="668"/>
      <c r="L176" s="668"/>
      <c r="M176" s="668"/>
      <c r="N176" s="668"/>
    </row>
    <row r="177" spans="1:14" hidden="1" x14ac:dyDescent="0.2">
      <c r="A177" s="668"/>
      <c r="B177" s="668"/>
      <c r="C177" s="668"/>
      <c r="D177" s="668"/>
      <c r="E177" s="668"/>
      <c r="F177" s="668"/>
      <c r="G177" s="668"/>
      <c r="H177" s="668"/>
      <c r="I177" s="668"/>
      <c r="J177" s="668"/>
      <c r="K177" s="668"/>
      <c r="L177" s="668"/>
      <c r="M177" s="668"/>
      <c r="N177" s="668"/>
    </row>
    <row r="178" spans="1:14" hidden="1" x14ac:dyDescent="0.2">
      <c r="A178" s="668"/>
      <c r="B178" s="668"/>
      <c r="C178" s="668"/>
      <c r="D178" s="668"/>
      <c r="E178" s="668"/>
      <c r="F178" s="668"/>
      <c r="G178" s="668"/>
      <c r="H178" s="668"/>
      <c r="I178" s="668"/>
      <c r="J178" s="668"/>
      <c r="K178" s="668"/>
      <c r="L178" s="668"/>
      <c r="M178" s="668"/>
      <c r="N178" s="668"/>
    </row>
    <row r="179" spans="1:14" hidden="1" x14ac:dyDescent="0.2">
      <c r="A179" s="668"/>
      <c r="B179" s="668"/>
      <c r="C179" s="668"/>
      <c r="D179" s="668"/>
      <c r="E179" s="668"/>
      <c r="F179" s="668"/>
      <c r="G179" s="668"/>
      <c r="H179" s="668"/>
      <c r="I179" s="668"/>
      <c r="J179" s="668"/>
      <c r="K179" s="668"/>
      <c r="L179" s="668"/>
      <c r="M179" s="668"/>
      <c r="N179" s="668"/>
    </row>
    <row r="180" spans="1:14" hidden="1" x14ac:dyDescent="0.2">
      <c r="A180" s="668"/>
      <c r="B180" s="668"/>
      <c r="C180" s="668"/>
      <c r="D180" s="668"/>
      <c r="E180" s="668"/>
      <c r="F180" s="668"/>
      <c r="G180" s="668"/>
      <c r="H180" s="668"/>
      <c r="I180" s="668"/>
      <c r="J180" s="668"/>
      <c r="K180" s="668"/>
      <c r="L180" s="668"/>
      <c r="M180" s="668"/>
      <c r="N180" s="668"/>
    </row>
    <row r="181" spans="1:14" hidden="1" x14ac:dyDescent="0.2">
      <c r="A181" s="668"/>
      <c r="B181" s="668"/>
      <c r="C181" s="668"/>
      <c r="D181" s="668"/>
      <c r="E181" s="668"/>
      <c r="F181" s="668"/>
      <c r="G181" s="668"/>
      <c r="H181" s="668"/>
      <c r="I181" s="668"/>
      <c r="J181" s="668"/>
      <c r="K181" s="668"/>
      <c r="L181" s="668"/>
      <c r="M181" s="668"/>
      <c r="N181" s="668"/>
    </row>
    <row r="182" spans="1:14" hidden="1" x14ac:dyDescent="0.2">
      <c r="A182" s="668"/>
      <c r="B182" s="668"/>
      <c r="C182" s="668"/>
      <c r="D182" s="668"/>
      <c r="E182" s="668"/>
      <c r="F182" s="668"/>
      <c r="G182" s="668"/>
      <c r="H182" s="668"/>
      <c r="I182" s="668"/>
      <c r="J182" s="668"/>
      <c r="K182" s="668"/>
      <c r="L182" s="668"/>
      <c r="M182" s="668"/>
      <c r="N182" s="668"/>
    </row>
    <row r="183" spans="1:14" hidden="1" x14ac:dyDescent="0.2">
      <c r="A183" s="668"/>
      <c r="B183" s="668"/>
      <c r="C183" s="668"/>
      <c r="D183" s="668"/>
      <c r="E183" s="668"/>
      <c r="F183" s="668"/>
      <c r="G183" s="668"/>
      <c r="H183" s="668"/>
      <c r="I183" s="668"/>
      <c r="J183" s="668"/>
      <c r="K183" s="668"/>
      <c r="L183" s="668"/>
      <c r="M183" s="668"/>
      <c r="N183" s="668"/>
    </row>
    <row r="184" spans="1:14" hidden="1" x14ac:dyDescent="0.2">
      <c r="A184" s="668"/>
      <c r="B184" s="668"/>
      <c r="C184" s="668"/>
      <c r="D184" s="668"/>
      <c r="E184" s="668"/>
      <c r="F184" s="668"/>
      <c r="G184" s="668"/>
      <c r="H184" s="668"/>
      <c r="I184" s="668"/>
      <c r="J184" s="668"/>
      <c r="K184" s="668"/>
      <c r="L184" s="668"/>
      <c r="M184" s="668"/>
      <c r="N184" s="668"/>
    </row>
    <row r="185" spans="1:14" hidden="1" x14ac:dyDescent="0.2">
      <c r="A185" s="668"/>
      <c r="B185" s="668"/>
      <c r="C185" s="668"/>
      <c r="D185" s="668"/>
      <c r="E185" s="668"/>
      <c r="F185" s="668"/>
      <c r="G185" s="668"/>
      <c r="H185" s="668"/>
      <c r="I185" s="668"/>
      <c r="J185" s="668"/>
      <c r="K185" s="668"/>
      <c r="L185" s="668"/>
      <c r="M185" s="668"/>
      <c r="N185" s="668"/>
    </row>
    <row r="186" spans="1:14" hidden="1" x14ac:dyDescent="0.2">
      <c r="A186" s="668"/>
      <c r="B186" s="668"/>
      <c r="C186" s="668"/>
      <c r="D186" s="668"/>
      <c r="E186" s="668"/>
      <c r="F186" s="668"/>
      <c r="G186" s="668"/>
      <c r="H186" s="668"/>
      <c r="I186" s="668"/>
      <c r="J186" s="668"/>
      <c r="K186" s="668"/>
      <c r="L186" s="668"/>
      <c r="M186" s="668"/>
      <c r="N186" s="668"/>
    </row>
    <row r="187" spans="1:14" hidden="1" x14ac:dyDescent="0.2">
      <c r="A187" s="668"/>
      <c r="B187" s="668"/>
      <c r="C187" s="668"/>
      <c r="D187" s="668"/>
      <c r="E187" s="668"/>
      <c r="F187" s="668"/>
      <c r="G187" s="668"/>
      <c r="H187" s="668"/>
      <c r="I187" s="668"/>
      <c r="J187" s="668"/>
      <c r="K187" s="668"/>
      <c r="L187" s="668"/>
      <c r="M187" s="668"/>
      <c r="N187" s="668"/>
    </row>
    <row r="188" spans="1:14" hidden="1" x14ac:dyDescent="0.2">
      <c r="A188" s="668"/>
      <c r="B188" s="668"/>
      <c r="C188" s="668"/>
      <c r="D188" s="668"/>
      <c r="E188" s="668"/>
      <c r="F188" s="668"/>
      <c r="G188" s="668"/>
      <c r="H188" s="668"/>
      <c r="I188" s="668"/>
      <c r="J188" s="668"/>
      <c r="K188" s="668"/>
      <c r="L188" s="668"/>
      <c r="M188" s="668"/>
      <c r="N188" s="668"/>
    </row>
    <row r="189" spans="1:14" hidden="1" x14ac:dyDescent="0.2">
      <c r="A189" s="668"/>
      <c r="B189" s="668"/>
      <c r="C189" s="668"/>
      <c r="D189" s="668"/>
      <c r="E189" s="668"/>
      <c r="F189" s="668"/>
      <c r="G189" s="668"/>
      <c r="H189" s="668"/>
      <c r="I189" s="668"/>
      <c r="J189" s="668"/>
      <c r="K189" s="668"/>
      <c r="L189" s="668"/>
      <c r="M189" s="668"/>
      <c r="N189" s="668"/>
    </row>
    <row r="190" spans="1:14" hidden="1" x14ac:dyDescent="0.2">
      <c r="A190" s="668"/>
      <c r="B190" s="668"/>
      <c r="C190" s="668"/>
      <c r="D190" s="668"/>
      <c r="E190" s="668"/>
      <c r="F190" s="668"/>
      <c r="G190" s="668"/>
      <c r="H190" s="668"/>
      <c r="I190" s="668"/>
      <c r="J190" s="668"/>
      <c r="K190" s="668"/>
      <c r="L190" s="668"/>
      <c r="M190" s="668"/>
      <c r="N190" s="668"/>
    </row>
    <row r="191" spans="1:14" hidden="1" x14ac:dyDescent="0.2">
      <c r="A191" s="668"/>
      <c r="B191" s="668"/>
      <c r="C191" s="668"/>
      <c r="D191" s="668"/>
      <c r="E191" s="668"/>
      <c r="F191" s="668"/>
      <c r="G191" s="668"/>
      <c r="H191" s="668"/>
      <c r="I191" s="668"/>
      <c r="J191" s="668"/>
      <c r="K191" s="668"/>
      <c r="L191" s="668"/>
      <c r="M191" s="668"/>
      <c r="N191" s="668"/>
    </row>
    <row r="192" spans="1:14" hidden="1" x14ac:dyDescent="0.2">
      <c r="A192" s="668"/>
      <c r="B192" s="668"/>
      <c r="C192" s="668"/>
      <c r="D192" s="668"/>
      <c r="E192" s="668"/>
      <c r="F192" s="668"/>
      <c r="G192" s="668"/>
      <c r="H192" s="668"/>
      <c r="I192" s="668"/>
      <c r="J192" s="668"/>
      <c r="K192" s="668"/>
      <c r="L192" s="668"/>
      <c r="M192" s="668"/>
      <c r="N192" s="668"/>
    </row>
    <row r="193" spans="1:14" hidden="1" x14ac:dyDescent="0.2">
      <c r="A193" s="668"/>
      <c r="B193" s="668"/>
      <c r="C193" s="668"/>
      <c r="D193" s="668"/>
      <c r="E193" s="668"/>
      <c r="F193" s="668"/>
      <c r="G193" s="668"/>
      <c r="H193" s="668"/>
      <c r="I193" s="668"/>
      <c r="J193" s="668"/>
      <c r="K193" s="668"/>
      <c r="L193" s="668"/>
      <c r="M193" s="668"/>
      <c r="N193" s="668"/>
    </row>
    <row r="194" spans="1:14" hidden="1" x14ac:dyDescent="0.2">
      <c r="A194" s="668"/>
      <c r="B194" s="668"/>
      <c r="C194" s="668"/>
      <c r="D194" s="668"/>
      <c r="E194" s="668"/>
      <c r="F194" s="668"/>
      <c r="G194" s="668"/>
      <c r="H194" s="668"/>
      <c r="I194" s="668"/>
      <c r="J194" s="668"/>
      <c r="K194" s="668"/>
      <c r="L194" s="668"/>
      <c r="M194" s="668"/>
      <c r="N194" s="668"/>
    </row>
    <row r="195" spans="1:14" hidden="1" x14ac:dyDescent="0.2">
      <c r="A195" s="668"/>
      <c r="B195" s="668"/>
      <c r="C195" s="668"/>
      <c r="D195" s="668"/>
      <c r="E195" s="668"/>
      <c r="F195" s="668"/>
      <c r="G195" s="668"/>
      <c r="H195" s="668"/>
      <c r="I195" s="668"/>
      <c r="J195" s="668"/>
      <c r="K195" s="668"/>
      <c r="L195" s="668"/>
      <c r="M195" s="668"/>
      <c r="N195" s="668"/>
    </row>
    <row r="196" spans="1:14" hidden="1" x14ac:dyDescent="0.2">
      <c r="A196" s="668"/>
      <c r="B196" s="668"/>
      <c r="C196" s="668"/>
      <c r="D196" s="668"/>
      <c r="E196" s="668"/>
      <c r="F196" s="668"/>
      <c r="G196" s="668"/>
      <c r="H196" s="668"/>
      <c r="I196" s="668"/>
      <c r="J196" s="668"/>
      <c r="K196" s="668"/>
      <c r="L196" s="668"/>
      <c r="M196" s="668"/>
      <c r="N196" s="668"/>
    </row>
    <row r="197" spans="1:14" hidden="1" x14ac:dyDescent="0.2">
      <c r="A197" s="668"/>
      <c r="B197" s="668"/>
      <c r="C197" s="668"/>
      <c r="D197" s="668"/>
      <c r="E197" s="668"/>
      <c r="F197" s="668"/>
      <c r="G197" s="668"/>
      <c r="H197" s="668"/>
      <c r="I197" s="668"/>
      <c r="J197" s="668"/>
      <c r="K197" s="668"/>
      <c r="L197" s="668"/>
      <c r="M197" s="668"/>
      <c r="N197" s="668"/>
    </row>
    <row r="198" spans="1:14" hidden="1" x14ac:dyDescent="0.2">
      <c r="A198" s="668"/>
      <c r="B198" s="668"/>
      <c r="C198" s="668"/>
      <c r="D198" s="668"/>
      <c r="E198" s="668"/>
      <c r="F198" s="668"/>
      <c r="G198" s="668"/>
      <c r="H198" s="668"/>
      <c r="I198" s="668"/>
      <c r="J198" s="668"/>
      <c r="K198" s="668"/>
      <c r="L198" s="668"/>
      <c r="M198" s="668"/>
      <c r="N198" s="668"/>
    </row>
    <row r="199" spans="1:14" hidden="1" x14ac:dyDescent="0.2">
      <c r="A199" s="668"/>
      <c r="B199" s="668"/>
      <c r="C199" s="668"/>
      <c r="D199" s="668"/>
      <c r="E199" s="668"/>
      <c r="F199" s="668"/>
      <c r="G199" s="668"/>
      <c r="H199" s="668"/>
      <c r="I199" s="668"/>
      <c r="J199" s="668"/>
      <c r="K199" s="668"/>
      <c r="L199" s="668"/>
      <c r="M199" s="668"/>
      <c r="N199" s="668"/>
    </row>
    <row r="200" spans="1:14" hidden="1" x14ac:dyDescent="0.2">
      <c r="A200" s="668"/>
      <c r="B200" s="668"/>
      <c r="C200" s="668"/>
      <c r="D200" s="668"/>
      <c r="E200" s="668"/>
      <c r="F200" s="668"/>
      <c r="G200" s="668"/>
      <c r="H200" s="668"/>
      <c r="I200" s="668"/>
      <c r="J200" s="668"/>
      <c r="K200" s="668"/>
      <c r="L200" s="668"/>
      <c r="M200" s="668"/>
      <c r="N200" s="668"/>
    </row>
    <row r="201" spans="1:14" hidden="1" x14ac:dyDescent="0.2">
      <c r="A201" s="668"/>
      <c r="B201" s="668"/>
      <c r="C201" s="668"/>
      <c r="D201" s="668"/>
      <c r="E201" s="668"/>
      <c r="F201" s="668"/>
      <c r="G201" s="668"/>
      <c r="H201" s="668"/>
      <c r="I201" s="668"/>
      <c r="J201" s="668"/>
      <c r="K201" s="668"/>
      <c r="L201" s="668"/>
      <c r="M201" s="668"/>
      <c r="N201" s="668"/>
    </row>
    <row r="202" spans="1:14" hidden="1" x14ac:dyDescent="0.2">
      <c r="A202" s="668"/>
      <c r="B202" s="668"/>
      <c r="C202" s="668"/>
      <c r="D202" s="668"/>
      <c r="E202" s="668"/>
      <c r="F202" s="668"/>
      <c r="G202" s="668"/>
      <c r="H202" s="668"/>
      <c r="I202" s="668"/>
      <c r="J202" s="668"/>
      <c r="K202" s="668"/>
      <c r="L202" s="668"/>
      <c r="M202" s="668"/>
      <c r="N202" s="668"/>
    </row>
    <row r="203" spans="1:14" hidden="1" x14ac:dyDescent="0.2">
      <c r="A203" s="668"/>
      <c r="B203" s="668"/>
      <c r="C203" s="668"/>
      <c r="D203" s="668"/>
      <c r="E203" s="668"/>
      <c r="F203" s="668"/>
      <c r="G203" s="668"/>
      <c r="H203" s="668"/>
      <c r="I203" s="668"/>
      <c r="J203" s="668"/>
      <c r="K203" s="668"/>
      <c r="L203" s="668"/>
      <c r="M203" s="668"/>
      <c r="N203" s="668"/>
    </row>
    <row r="204" spans="1:14" hidden="1" x14ac:dyDescent="0.2">
      <c r="A204" s="668"/>
      <c r="B204" s="668"/>
      <c r="C204" s="668"/>
      <c r="D204" s="668"/>
      <c r="E204" s="668"/>
      <c r="F204" s="668"/>
      <c r="G204" s="668"/>
      <c r="H204" s="668"/>
      <c r="I204" s="668"/>
      <c r="J204" s="668"/>
      <c r="K204" s="668"/>
      <c r="L204" s="668"/>
      <c r="M204" s="668"/>
      <c r="N204" s="668"/>
    </row>
    <row r="205" spans="1:14" hidden="1" x14ac:dyDescent="0.2">
      <c r="A205" s="668"/>
      <c r="B205" s="668"/>
      <c r="C205" s="668"/>
      <c r="D205" s="668"/>
      <c r="E205" s="668"/>
      <c r="F205" s="668"/>
      <c r="G205" s="668"/>
      <c r="H205" s="668"/>
      <c r="I205" s="668"/>
      <c r="J205" s="668"/>
      <c r="K205" s="668"/>
      <c r="L205" s="668"/>
      <c r="M205" s="668"/>
      <c r="N205" s="668"/>
    </row>
    <row r="206" spans="1:14" hidden="1" x14ac:dyDescent="0.2">
      <c r="A206" s="668"/>
      <c r="B206" s="668"/>
      <c r="C206" s="668"/>
      <c r="D206" s="668"/>
      <c r="E206" s="668"/>
      <c r="F206" s="668"/>
      <c r="G206" s="668"/>
      <c r="H206" s="668"/>
      <c r="I206" s="668"/>
      <c r="J206" s="668"/>
      <c r="K206" s="668"/>
      <c r="L206" s="668"/>
      <c r="M206" s="668"/>
      <c r="N206" s="668"/>
    </row>
    <row r="207" spans="1:14" hidden="1" x14ac:dyDescent="0.2">
      <c r="A207" s="668"/>
      <c r="B207" s="668"/>
      <c r="C207" s="668"/>
      <c r="D207" s="668"/>
      <c r="E207" s="668"/>
      <c r="F207" s="668"/>
      <c r="G207" s="668"/>
      <c r="H207" s="668"/>
      <c r="I207" s="668"/>
      <c r="J207" s="668"/>
      <c r="K207" s="668"/>
      <c r="L207" s="668"/>
      <c r="M207" s="668"/>
      <c r="N207" s="668"/>
    </row>
    <row r="208" spans="1:14" hidden="1" x14ac:dyDescent="0.2">
      <c r="A208" s="668"/>
      <c r="B208" s="668"/>
      <c r="C208" s="668"/>
      <c r="D208" s="668"/>
      <c r="E208" s="668"/>
      <c r="F208" s="668"/>
      <c r="G208" s="668"/>
      <c r="H208" s="668"/>
      <c r="I208" s="668"/>
      <c r="J208" s="668"/>
      <c r="K208" s="668"/>
      <c r="L208" s="668"/>
      <c r="M208" s="668"/>
      <c r="N208" s="668"/>
    </row>
    <row r="209" spans="1:14" hidden="1" x14ac:dyDescent="0.2">
      <c r="A209" s="668"/>
      <c r="B209" s="668"/>
      <c r="C209" s="668"/>
      <c r="D209" s="668"/>
      <c r="E209" s="668"/>
      <c r="F209" s="668"/>
      <c r="G209" s="668"/>
      <c r="H209" s="668"/>
      <c r="I209" s="668"/>
      <c r="J209" s="668"/>
      <c r="K209" s="668"/>
      <c r="L209" s="668"/>
      <c r="M209" s="668"/>
      <c r="N209" s="668"/>
    </row>
    <row r="210" spans="1:14" hidden="1" x14ac:dyDescent="0.2">
      <c r="A210" s="668"/>
      <c r="B210" s="668"/>
      <c r="C210" s="668"/>
      <c r="D210" s="668"/>
      <c r="E210" s="668"/>
      <c r="F210" s="668"/>
      <c r="G210" s="668"/>
      <c r="H210" s="668"/>
      <c r="I210" s="668"/>
      <c r="J210" s="668"/>
      <c r="K210" s="668"/>
      <c r="L210" s="668"/>
      <c r="M210" s="668"/>
      <c r="N210" s="668"/>
    </row>
    <row r="211" spans="1:14" hidden="1" x14ac:dyDescent="0.2">
      <c r="A211" s="668"/>
      <c r="B211" s="668"/>
      <c r="C211" s="668"/>
      <c r="D211" s="668"/>
      <c r="E211" s="668"/>
      <c r="F211" s="668"/>
      <c r="G211" s="668"/>
      <c r="H211" s="668"/>
      <c r="I211" s="668"/>
      <c r="J211" s="668"/>
      <c r="K211" s="668"/>
      <c r="L211" s="668"/>
      <c r="M211" s="668"/>
      <c r="N211" s="668"/>
    </row>
    <row r="212" spans="1:14" hidden="1" x14ac:dyDescent="0.2">
      <c r="A212" s="668"/>
      <c r="B212" s="668"/>
      <c r="C212" s="668"/>
      <c r="D212" s="668"/>
      <c r="E212" s="668"/>
      <c r="F212" s="668"/>
      <c r="G212" s="668"/>
      <c r="H212" s="668"/>
      <c r="I212" s="668"/>
      <c r="J212" s="668"/>
      <c r="K212" s="668"/>
      <c r="L212" s="668"/>
      <c r="M212" s="668"/>
      <c r="N212" s="668"/>
    </row>
    <row r="213" spans="1:14" hidden="1" x14ac:dyDescent="0.2">
      <c r="A213" s="668"/>
      <c r="B213" s="668"/>
      <c r="C213" s="668"/>
      <c r="D213" s="668"/>
      <c r="E213" s="668"/>
      <c r="F213" s="668"/>
      <c r="G213" s="668"/>
      <c r="H213" s="668"/>
      <c r="I213" s="668"/>
      <c r="J213" s="668"/>
      <c r="K213" s="668"/>
      <c r="L213" s="668"/>
      <c r="M213" s="668"/>
      <c r="N213" s="668"/>
    </row>
    <row r="214" spans="1:14" hidden="1" x14ac:dyDescent="0.2">
      <c r="A214" s="668"/>
      <c r="B214" s="668"/>
      <c r="C214" s="668"/>
      <c r="D214" s="668"/>
      <c r="E214" s="668"/>
      <c r="F214" s="668"/>
      <c r="G214" s="668"/>
      <c r="H214" s="668"/>
      <c r="I214" s="668"/>
      <c r="J214" s="668"/>
      <c r="K214" s="668"/>
      <c r="L214" s="668"/>
      <c r="M214" s="668"/>
      <c r="N214" s="668"/>
    </row>
    <row r="215" spans="1:14" hidden="1" x14ac:dyDescent="0.2">
      <c r="A215" s="668"/>
      <c r="B215" s="668"/>
      <c r="C215" s="668"/>
      <c r="D215" s="668"/>
      <c r="E215" s="668"/>
      <c r="F215" s="668"/>
      <c r="G215" s="668"/>
      <c r="H215" s="668"/>
      <c r="I215" s="668"/>
      <c r="J215" s="668"/>
      <c r="K215" s="668"/>
      <c r="L215" s="668"/>
      <c r="M215" s="668"/>
      <c r="N215" s="668"/>
    </row>
    <row r="216" spans="1:14" hidden="1" x14ac:dyDescent="0.2">
      <c r="A216" s="668"/>
      <c r="B216" s="668"/>
      <c r="C216" s="668"/>
      <c r="D216" s="668"/>
      <c r="E216" s="668"/>
      <c r="F216" s="668"/>
      <c r="G216" s="668"/>
      <c r="H216" s="668"/>
      <c r="I216" s="668"/>
      <c r="J216" s="668"/>
      <c r="K216" s="668"/>
      <c r="L216" s="668"/>
      <c r="M216" s="668"/>
      <c r="N216" s="668"/>
    </row>
    <row r="217" spans="1:14" hidden="1" x14ac:dyDescent="0.2">
      <c r="A217" s="668"/>
      <c r="B217" s="668"/>
      <c r="C217" s="668"/>
      <c r="D217" s="668"/>
      <c r="E217" s="668"/>
      <c r="F217" s="668"/>
      <c r="G217" s="668"/>
      <c r="H217" s="668"/>
      <c r="I217" s="668"/>
      <c r="J217" s="668"/>
      <c r="K217" s="668"/>
      <c r="L217" s="668"/>
      <c r="M217" s="668"/>
      <c r="N217" s="668"/>
    </row>
    <row r="218" spans="1:14" hidden="1" x14ac:dyDescent="0.2">
      <c r="A218" s="668"/>
      <c r="B218" s="668"/>
      <c r="C218" s="668"/>
      <c r="D218" s="668"/>
      <c r="E218" s="668"/>
      <c r="F218" s="668"/>
      <c r="G218" s="668"/>
      <c r="H218" s="668"/>
      <c r="I218" s="668"/>
      <c r="J218" s="668"/>
      <c r="K218" s="668"/>
      <c r="L218" s="668"/>
      <c r="M218" s="668"/>
      <c r="N218" s="668"/>
    </row>
    <row r="219" spans="1:14" hidden="1" x14ac:dyDescent="0.2">
      <c r="A219" s="668"/>
      <c r="B219" s="668"/>
      <c r="C219" s="668"/>
      <c r="D219" s="668"/>
      <c r="E219" s="668"/>
      <c r="F219" s="668"/>
      <c r="G219" s="668"/>
      <c r="H219" s="668"/>
      <c r="I219" s="668"/>
      <c r="J219" s="668"/>
      <c r="K219" s="668"/>
      <c r="L219" s="668"/>
      <c r="M219" s="668"/>
      <c r="N219" s="668"/>
    </row>
    <row r="220" spans="1:14" hidden="1" x14ac:dyDescent="0.2">
      <c r="A220" s="668"/>
      <c r="B220" s="668"/>
      <c r="C220" s="668"/>
      <c r="D220" s="668"/>
      <c r="E220" s="668"/>
      <c r="F220" s="668"/>
      <c r="G220" s="668"/>
      <c r="H220" s="668"/>
      <c r="I220" s="668"/>
      <c r="J220" s="668"/>
      <c r="K220" s="668"/>
      <c r="L220" s="668"/>
      <c r="M220" s="668"/>
      <c r="N220" s="668"/>
    </row>
    <row r="221" spans="1:14" hidden="1" x14ac:dyDescent="0.2">
      <c r="A221" s="668"/>
      <c r="B221" s="668"/>
      <c r="C221" s="668"/>
      <c r="D221" s="668"/>
      <c r="E221" s="668"/>
      <c r="F221" s="668"/>
      <c r="G221" s="668"/>
      <c r="H221" s="668"/>
      <c r="I221" s="668"/>
      <c r="J221" s="668"/>
      <c r="K221" s="668"/>
      <c r="L221" s="668"/>
      <c r="M221" s="668"/>
      <c r="N221" s="668"/>
    </row>
    <row r="222" spans="1:14" hidden="1" x14ac:dyDescent="0.2">
      <c r="A222" s="668"/>
      <c r="B222" s="668"/>
      <c r="C222" s="668"/>
      <c r="D222" s="668"/>
      <c r="E222" s="668"/>
      <c r="F222" s="668"/>
      <c r="G222" s="668"/>
      <c r="H222" s="668"/>
      <c r="I222" s="668"/>
      <c r="J222" s="668"/>
      <c r="K222" s="668"/>
      <c r="L222" s="668"/>
      <c r="M222" s="668"/>
      <c r="N222" s="668"/>
    </row>
    <row r="223" spans="1:14" hidden="1" x14ac:dyDescent="0.2">
      <c r="A223" s="668"/>
      <c r="B223" s="668"/>
      <c r="C223" s="668"/>
      <c r="D223" s="668"/>
      <c r="E223" s="668"/>
      <c r="F223" s="668"/>
      <c r="G223" s="668"/>
      <c r="H223" s="668"/>
      <c r="I223" s="668"/>
      <c r="J223" s="668"/>
      <c r="K223" s="668"/>
      <c r="L223" s="668"/>
      <c r="M223" s="668"/>
      <c r="N223" s="668"/>
    </row>
    <row r="224" spans="1:14" hidden="1" x14ac:dyDescent="0.2">
      <c r="A224" s="668"/>
      <c r="B224" s="668"/>
      <c r="C224" s="668"/>
      <c r="D224" s="668"/>
      <c r="E224" s="668"/>
      <c r="F224" s="668"/>
      <c r="G224" s="668"/>
      <c r="H224" s="668"/>
      <c r="I224" s="668"/>
      <c r="J224" s="668"/>
      <c r="K224" s="668"/>
      <c r="L224" s="668"/>
      <c r="M224" s="668"/>
      <c r="N224" s="668"/>
    </row>
    <row r="225" spans="1:14" hidden="1" x14ac:dyDescent="0.2">
      <c r="A225" s="668"/>
      <c r="B225" s="668"/>
      <c r="C225" s="668"/>
      <c r="D225" s="668"/>
      <c r="E225" s="668"/>
      <c r="F225" s="668"/>
      <c r="G225" s="668"/>
      <c r="H225" s="668"/>
      <c r="I225" s="668"/>
      <c r="J225" s="668"/>
      <c r="K225" s="668"/>
      <c r="L225" s="668"/>
      <c r="M225" s="668"/>
      <c r="N225" s="668"/>
    </row>
    <row r="226" spans="1:14" hidden="1" x14ac:dyDescent="0.2">
      <c r="A226" s="668"/>
      <c r="B226" s="668"/>
      <c r="C226" s="668"/>
      <c r="D226" s="668"/>
      <c r="E226" s="668"/>
      <c r="F226" s="668"/>
      <c r="G226" s="668"/>
      <c r="H226" s="668"/>
      <c r="I226" s="668"/>
      <c r="J226" s="668"/>
      <c r="K226" s="668"/>
      <c r="L226" s="668"/>
      <c r="M226" s="668"/>
      <c r="N226" s="668"/>
    </row>
    <row r="227" spans="1:14" hidden="1" x14ac:dyDescent="0.2">
      <c r="A227" s="668"/>
      <c r="B227" s="668"/>
      <c r="C227" s="668"/>
      <c r="D227" s="668"/>
      <c r="E227" s="668"/>
      <c r="F227" s="668"/>
      <c r="G227" s="668"/>
      <c r="H227" s="668"/>
      <c r="I227" s="668"/>
      <c r="J227" s="668"/>
      <c r="K227" s="668"/>
      <c r="L227" s="668"/>
      <c r="M227" s="668"/>
      <c r="N227" s="668"/>
    </row>
    <row r="228" spans="1:14" hidden="1" x14ac:dyDescent="0.2">
      <c r="A228" s="668"/>
      <c r="B228" s="668"/>
      <c r="C228" s="668"/>
      <c r="D228" s="668"/>
      <c r="E228" s="668"/>
      <c r="F228" s="668"/>
      <c r="G228" s="668"/>
      <c r="H228" s="668"/>
      <c r="I228" s="668"/>
      <c r="J228" s="668"/>
      <c r="K228" s="668"/>
      <c r="L228" s="668"/>
      <c r="M228" s="668"/>
      <c r="N228" s="668"/>
    </row>
    <row r="229" spans="1:14" hidden="1" x14ac:dyDescent="0.2">
      <c r="A229" s="668"/>
      <c r="B229" s="668"/>
      <c r="C229" s="668"/>
      <c r="D229" s="668"/>
      <c r="E229" s="668"/>
      <c r="F229" s="668"/>
      <c r="G229" s="668"/>
      <c r="H229" s="668"/>
      <c r="I229" s="668"/>
      <c r="J229" s="668"/>
      <c r="K229" s="668"/>
      <c r="L229" s="668"/>
      <c r="M229" s="668"/>
      <c r="N229" s="668"/>
    </row>
    <row r="230" spans="1:14" hidden="1" x14ac:dyDescent="0.2">
      <c r="A230" s="668"/>
      <c r="B230" s="668"/>
      <c r="C230" s="668"/>
      <c r="D230" s="668"/>
      <c r="E230" s="668"/>
      <c r="F230" s="668"/>
      <c r="G230" s="668"/>
      <c r="H230" s="668"/>
      <c r="I230" s="668"/>
      <c r="J230" s="668"/>
      <c r="K230" s="668"/>
      <c r="L230" s="668"/>
      <c r="M230" s="668"/>
      <c r="N230" s="668"/>
    </row>
    <row r="231" spans="1:14" hidden="1" x14ac:dyDescent="0.2">
      <c r="A231" s="668"/>
      <c r="B231" s="668"/>
      <c r="C231" s="668"/>
      <c r="D231" s="668"/>
      <c r="E231" s="668"/>
      <c r="F231" s="668"/>
      <c r="G231" s="668"/>
      <c r="H231" s="668"/>
      <c r="I231" s="668"/>
      <c r="J231" s="668"/>
      <c r="K231" s="668"/>
      <c r="L231" s="668"/>
      <c r="M231" s="668"/>
      <c r="N231" s="668"/>
    </row>
    <row r="232" spans="1:14" hidden="1" x14ac:dyDescent="0.2">
      <c r="A232" s="668"/>
      <c r="B232" s="668"/>
      <c r="C232" s="668"/>
      <c r="D232" s="668"/>
      <c r="E232" s="668"/>
      <c r="F232" s="668"/>
      <c r="G232" s="668"/>
      <c r="H232" s="668"/>
      <c r="I232" s="668"/>
      <c r="J232" s="668"/>
      <c r="K232" s="668"/>
      <c r="L232" s="668"/>
      <c r="M232" s="668"/>
      <c r="N232" s="668"/>
    </row>
    <row r="233" spans="1:14" hidden="1" x14ac:dyDescent="0.2">
      <c r="A233" s="668"/>
      <c r="B233" s="668"/>
      <c r="C233" s="668"/>
      <c r="D233" s="668"/>
      <c r="E233" s="668"/>
      <c r="F233" s="668"/>
      <c r="G233" s="668"/>
      <c r="H233" s="668"/>
      <c r="I233" s="668"/>
      <c r="J233" s="668"/>
      <c r="K233" s="668"/>
      <c r="L233" s="668"/>
      <c r="M233" s="668"/>
      <c r="N233" s="668"/>
    </row>
    <row r="234" spans="1:14" hidden="1" x14ac:dyDescent="0.2">
      <c r="A234" s="668"/>
      <c r="B234" s="668"/>
      <c r="C234" s="668"/>
      <c r="D234" s="668"/>
      <c r="E234" s="668"/>
      <c r="F234" s="668"/>
      <c r="G234" s="668"/>
      <c r="H234" s="668"/>
      <c r="I234" s="668"/>
      <c r="J234" s="668"/>
      <c r="K234" s="668"/>
      <c r="L234" s="668"/>
      <c r="M234" s="668"/>
      <c r="N234" s="668"/>
    </row>
    <row r="235" spans="1:14" hidden="1" x14ac:dyDescent="0.2">
      <c r="A235" s="668"/>
      <c r="B235" s="668"/>
      <c r="C235" s="668"/>
      <c r="D235" s="668"/>
      <c r="E235" s="668"/>
      <c r="F235" s="668"/>
      <c r="G235" s="668"/>
      <c r="H235" s="668"/>
      <c r="I235" s="668"/>
      <c r="J235" s="668"/>
      <c r="K235" s="668"/>
      <c r="L235" s="668"/>
      <c r="M235" s="668"/>
      <c r="N235" s="668"/>
    </row>
    <row r="236" spans="1:14" hidden="1" x14ac:dyDescent="0.2">
      <c r="A236" s="668"/>
      <c r="B236" s="668"/>
      <c r="C236" s="668"/>
      <c r="D236" s="668"/>
      <c r="E236" s="668"/>
      <c r="F236" s="668"/>
      <c r="G236" s="668"/>
      <c r="H236" s="668"/>
      <c r="I236" s="668"/>
      <c r="J236" s="668"/>
      <c r="K236" s="668"/>
      <c r="L236" s="668"/>
      <c r="M236" s="668"/>
      <c r="N236" s="668"/>
    </row>
    <row r="237" spans="1:14" hidden="1" x14ac:dyDescent="0.2">
      <c r="A237" s="668"/>
      <c r="B237" s="668"/>
      <c r="C237" s="668"/>
      <c r="D237" s="668"/>
      <c r="E237" s="668"/>
      <c r="F237" s="668"/>
      <c r="G237" s="668"/>
      <c r="H237" s="668"/>
      <c r="I237" s="668"/>
      <c r="J237" s="668"/>
      <c r="K237" s="668"/>
      <c r="L237" s="668"/>
      <c r="M237" s="668"/>
      <c r="N237" s="668"/>
    </row>
    <row r="238" spans="1:14" hidden="1" x14ac:dyDescent="0.2">
      <c r="A238" s="668"/>
      <c r="B238" s="668"/>
      <c r="C238" s="668"/>
      <c r="D238" s="668"/>
      <c r="E238" s="668"/>
      <c r="F238" s="668"/>
      <c r="G238" s="668"/>
      <c r="H238" s="668"/>
      <c r="I238" s="668"/>
      <c r="J238" s="668"/>
      <c r="K238" s="668"/>
      <c r="L238" s="668"/>
      <c r="M238" s="668"/>
      <c r="N238" s="668"/>
    </row>
    <row r="239" spans="1:14" hidden="1" x14ac:dyDescent="0.2">
      <c r="A239" s="668"/>
      <c r="B239" s="668"/>
      <c r="C239" s="668"/>
      <c r="D239" s="668"/>
      <c r="E239" s="668"/>
      <c r="F239" s="668"/>
      <c r="G239" s="668"/>
      <c r="H239" s="668"/>
      <c r="I239" s="668"/>
      <c r="J239" s="668"/>
      <c r="K239" s="668"/>
      <c r="L239" s="668"/>
      <c r="M239" s="668"/>
      <c r="N239" s="668"/>
    </row>
    <row r="240" spans="1:14" hidden="1" x14ac:dyDescent="0.2">
      <c r="A240" s="668"/>
      <c r="B240" s="668"/>
      <c r="C240" s="668"/>
      <c r="D240" s="668"/>
      <c r="E240" s="668"/>
      <c r="F240" s="668"/>
      <c r="G240" s="668"/>
      <c r="H240" s="668"/>
      <c r="I240" s="668"/>
      <c r="J240" s="668"/>
      <c r="K240" s="668"/>
      <c r="L240" s="668"/>
      <c r="M240" s="668"/>
      <c r="N240" s="668"/>
    </row>
    <row r="241" spans="1:14" hidden="1" x14ac:dyDescent="0.2">
      <c r="A241" s="668"/>
      <c r="B241" s="668"/>
      <c r="C241" s="668"/>
      <c r="D241" s="668"/>
      <c r="E241" s="668"/>
      <c r="F241" s="668"/>
      <c r="G241" s="668"/>
      <c r="H241" s="668"/>
      <c r="I241" s="668"/>
      <c r="J241" s="668"/>
      <c r="K241" s="668"/>
      <c r="L241" s="668"/>
      <c r="M241" s="668"/>
      <c r="N241" s="668"/>
    </row>
    <row r="242" spans="1:14" hidden="1" x14ac:dyDescent="0.2">
      <c r="A242" s="668"/>
      <c r="B242" s="668"/>
      <c r="C242" s="668"/>
      <c r="D242" s="668"/>
      <c r="E242" s="668"/>
      <c r="F242" s="668"/>
      <c r="G242" s="668"/>
      <c r="H242" s="668"/>
      <c r="I242" s="668"/>
      <c r="J242" s="668"/>
      <c r="K242" s="668"/>
      <c r="L242" s="668"/>
      <c r="M242" s="668"/>
      <c r="N242" s="668"/>
    </row>
    <row r="243" spans="1:14" hidden="1" x14ac:dyDescent="0.2">
      <c r="A243" s="668"/>
      <c r="B243" s="668"/>
      <c r="C243" s="668"/>
      <c r="D243" s="668"/>
      <c r="E243" s="668"/>
      <c r="F243" s="668"/>
      <c r="G243" s="668"/>
      <c r="H243" s="668"/>
      <c r="I243" s="668"/>
      <c r="J243" s="668"/>
      <c r="K243" s="668"/>
      <c r="L243" s="668"/>
      <c r="M243" s="668"/>
      <c r="N243" s="668"/>
    </row>
    <row r="244" spans="1:14" hidden="1" x14ac:dyDescent="0.2">
      <c r="A244" s="668"/>
      <c r="B244" s="668"/>
      <c r="C244" s="668"/>
      <c r="D244" s="668"/>
      <c r="E244" s="668"/>
      <c r="F244" s="668"/>
      <c r="G244" s="668"/>
      <c r="H244" s="668"/>
      <c r="I244" s="668"/>
      <c r="J244" s="668"/>
      <c r="K244" s="668"/>
      <c r="L244" s="668"/>
      <c r="M244" s="668"/>
      <c r="N244" s="668"/>
    </row>
    <row r="245" spans="1:14" hidden="1" x14ac:dyDescent="0.2">
      <c r="A245" s="668"/>
      <c r="B245" s="668"/>
      <c r="C245" s="668"/>
      <c r="D245" s="668"/>
      <c r="E245" s="668"/>
      <c r="F245" s="668"/>
      <c r="G245" s="668"/>
      <c r="H245" s="668"/>
      <c r="I245" s="668"/>
      <c r="J245" s="668"/>
      <c r="K245" s="668"/>
      <c r="L245" s="668"/>
      <c r="M245" s="668"/>
      <c r="N245" s="668"/>
    </row>
    <row r="246" spans="1:14" hidden="1" x14ac:dyDescent="0.2">
      <c r="A246" s="668"/>
      <c r="B246" s="668"/>
      <c r="C246" s="668"/>
      <c r="D246" s="668"/>
      <c r="E246" s="668"/>
      <c r="F246" s="668"/>
      <c r="G246" s="668"/>
      <c r="H246" s="668"/>
      <c r="I246" s="668"/>
      <c r="J246" s="668"/>
      <c r="K246" s="668"/>
      <c r="L246" s="668"/>
      <c r="M246" s="668"/>
      <c r="N246" s="668"/>
    </row>
    <row r="247" spans="1:14" hidden="1" x14ac:dyDescent="0.2">
      <c r="A247" s="668"/>
      <c r="B247" s="668"/>
      <c r="C247" s="668"/>
      <c r="D247" s="668"/>
      <c r="E247" s="668"/>
      <c r="F247" s="668"/>
      <c r="G247" s="668"/>
      <c r="H247" s="668"/>
      <c r="I247" s="668"/>
      <c r="J247" s="668"/>
      <c r="K247" s="668"/>
      <c r="L247" s="668"/>
      <c r="M247" s="668"/>
      <c r="N247" s="668"/>
    </row>
    <row r="248" spans="1:14" hidden="1" x14ac:dyDescent="0.2">
      <c r="A248" s="668"/>
      <c r="B248" s="668"/>
      <c r="C248" s="668"/>
      <c r="D248" s="668"/>
      <c r="E248" s="668"/>
      <c r="F248" s="668"/>
      <c r="G248" s="668"/>
      <c r="H248" s="668"/>
      <c r="I248" s="668"/>
      <c r="J248" s="668"/>
      <c r="K248" s="668"/>
      <c r="L248" s="668"/>
      <c r="M248" s="668"/>
      <c r="N248" s="668"/>
    </row>
    <row r="249" spans="1:14" hidden="1" x14ac:dyDescent="0.2">
      <c r="A249" s="668"/>
      <c r="B249" s="668"/>
      <c r="C249" s="668"/>
      <c r="D249" s="668"/>
      <c r="E249" s="668"/>
      <c r="F249" s="668"/>
      <c r="G249" s="668"/>
      <c r="H249" s="668"/>
      <c r="I249" s="668"/>
      <c r="J249" s="668"/>
      <c r="K249" s="668"/>
      <c r="L249" s="668"/>
      <c r="M249" s="668"/>
      <c r="N249" s="668"/>
    </row>
    <row r="250" spans="1:14" hidden="1" x14ac:dyDescent="0.2">
      <c r="A250" s="668"/>
      <c r="B250" s="668"/>
      <c r="C250" s="668"/>
      <c r="D250" s="668"/>
      <c r="E250" s="668"/>
      <c r="F250" s="668"/>
      <c r="G250" s="668"/>
      <c r="H250" s="668"/>
      <c r="I250" s="668"/>
      <c r="J250" s="668"/>
      <c r="K250" s="668"/>
      <c r="L250" s="668"/>
      <c r="M250" s="668"/>
      <c r="N250" s="668"/>
    </row>
    <row r="251" spans="1:14" hidden="1" x14ac:dyDescent="0.2">
      <c r="A251" s="668"/>
      <c r="B251" s="668"/>
      <c r="C251" s="668"/>
      <c r="D251" s="668"/>
      <c r="E251" s="668"/>
      <c r="F251" s="668"/>
      <c r="G251" s="668"/>
      <c r="H251" s="668"/>
      <c r="I251" s="668"/>
      <c r="J251" s="668"/>
      <c r="K251" s="668"/>
      <c r="L251" s="668"/>
      <c r="M251" s="668"/>
      <c r="N251" s="668"/>
    </row>
    <row r="252" spans="1:14" hidden="1" x14ac:dyDescent="0.2">
      <c r="A252" s="668"/>
      <c r="B252" s="668"/>
      <c r="C252" s="668"/>
      <c r="D252" s="668"/>
      <c r="E252" s="668"/>
      <c r="F252" s="668"/>
      <c r="G252" s="668"/>
      <c r="H252" s="668"/>
      <c r="I252" s="668"/>
      <c r="J252" s="668"/>
      <c r="K252" s="668"/>
      <c r="L252" s="668"/>
      <c r="M252" s="668"/>
      <c r="N252" s="668"/>
    </row>
    <row r="253" spans="1:14" hidden="1" x14ac:dyDescent="0.2">
      <c r="A253" s="668"/>
      <c r="B253" s="668"/>
      <c r="C253" s="668"/>
      <c r="D253" s="668"/>
      <c r="E253" s="668"/>
      <c r="F253" s="668"/>
      <c r="G253" s="668"/>
      <c r="H253" s="668"/>
      <c r="I253" s="668"/>
      <c r="J253" s="668"/>
      <c r="K253" s="668"/>
      <c r="L253" s="668"/>
      <c r="M253" s="668"/>
      <c r="N253" s="668"/>
    </row>
    <row r="254" spans="1:14" hidden="1" x14ac:dyDescent="0.2">
      <c r="A254" s="668"/>
      <c r="B254" s="668"/>
      <c r="C254" s="668"/>
      <c r="D254" s="668"/>
      <c r="E254" s="668"/>
      <c r="F254" s="668"/>
      <c r="G254" s="668"/>
      <c r="H254" s="668"/>
      <c r="I254" s="668"/>
      <c r="J254" s="668"/>
      <c r="K254" s="668"/>
      <c r="L254" s="668"/>
      <c r="M254" s="668"/>
      <c r="N254" s="668"/>
    </row>
    <row r="255" spans="1:14" hidden="1" x14ac:dyDescent="0.2">
      <c r="A255" s="668"/>
      <c r="B255" s="668"/>
      <c r="C255" s="668"/>
      <c r="D255" s="668"/>
      <c r="E255" s="668"/>
      <c r="F255" s="668"/>
      <c r="G255" s="668"/>
      <c r="H255" s="668"/>
      <c r="I255" s="668"/>
      <c r="J255" s="668"/>
      <c r="K255" s="668"/>
      <c r="L255" s="668"/>
      <c r="M255" s="668"/>
      <c r="N255" s="668"/>
    </row>
    <row r="256" spans="1:14" hidden="1" x14ac:dyDescent="0.2">
      <c r="A256" s="668"/>
      <c r="B256" s="668"/>
      <c r="C256" s="668"/>
      <c r="D256" s="668"/>
      <c r="E256" s="668"/>
      <c r="F256" s="668"/>
      <c r="G256" s="668"/>
      <c r="H256" s="668"/>
      <c r="I256" s="668"/>
      <c r="J256" s="668"/>
      <c r="K256" s="668"/>
      <c r="L256" s="668"/>
      <c r="M256" s="668"/>
      <c r="N256" s="668"/>
    </row>
    <row r="257" spans="1:14" hidden="1" x14ac:dyDescent="0.2">
      <c r="A257" s="668"/>
      <c r="B257" s="668"/>
      <c r="C257" s="668"/>
      <c r="D257" s="668"/>
      <c r="E257" s="668"/>
      <c r="F257" s="668"/>
      <c r="G257" s="668"/>
      <c r="H257" s="668"/>
      <c r="I257" s="668"/>
      <c r="J257" s="668"/>
      <c r="K257" s="668"/>
      <c r="L257" s="668"/>
      <c r="M257" s="668"/>
      <c r="N257" s="668"/>
    </row>
    <row r="258" spans="1:14" hidden="1" x14ac:dyDescent="0.2">
      <c r="A258" s="668"/>
      <c r="B258" s="668"/>
      <c r="C258" s="668"/>
      <c r="D258" s="668"/>
      <c r="E258" s="668"/>
      <c r="F258" s="668"/>
      <c r="G258" s="668"/>
      <c r="H258" s="668"/>
      <c r="I258" s="668"/>
      <c r="J258" s="668"/>
      <c r="K258" s="668"/>
      <c r="L258" s="668"/>
      <c r="M258" s="668"/>
      <c r="N258" s="668"/>
    </row>
    <row r="259" spans="1:14" hidden="1" x14ac:dyDescent="0.2">
      <c r="A259" s="668"/>
      <c r="B259" s="668"/>
      <c r="C259" s="668"/>
      <c r="D259" s="668"/>
      <c r="E259" s="668"/>
      <c r="F259" s="668"/>
      <c r="G259" s="668"/>
      <c r="H259" s="668"/>
      <c r="I259" s="668"/>
      <c r="J259" s="668"/>
      <c r="K259" s="668"/>
      <c r="L259" s="668"/>
      <c r="M259" s="668"/>
      <c r="N259" s="668"/>
    </row>
    <row r="260" spans="1:14" hidden="1" x14ac:dyDescent="0.2">
      <c r="A260" s="668"/>
      <c r="B260" s="668"/>
      <c r="C260" s="668"/>
      <c r="D260" s="668"/>
      <c r="E260" s="668"/>
      <c r="F260" s="668"/>
      <c r="G260" s="668"/>
      <c r="H260" s="668"/>
      <c r="I260" s="668"/>
      <c r="J260" s="668"/>
      <c r="K260" s="668"/>
      <c r="L260" s="668"/>
      <c r="M260" s="668"/>
      <c r="N260" s="668"/>
    </row>
    <row r="261" spans="1:14" hidden="1" x14ac:dyDescent="0.2">
      <c r="A261" s="668"/>
      <c r="B261" s="668"/>
      <c r="C261" s="668"/>
      <c r="D261" s="668"/>
      <c r="E261" s="668"/>
      <c r="F261" s="668"/>
      <c r="G261" s="668"/>
      <c r="H261" s="668"/>
      <c r="I261" s="668"/>
      <c r="J261" s="668"/>
      <c r="K261" s="668"/>
      <c r="L261" s="668"/>
      <c r="M261" s="668"/>
      <c r="N261" s="668"/>
    </row>
    <row r="262" spans="1:14" hidden="1" x14ac:dyDescent="0.2">
      <c r="A262" s="668"/>
      <c r="B262" s="668"/>
      <c r="C262" s="668"/>
      <c r="D262" s="668"/>
      <c r="E262" s="668"/>
      <c r="F262" s="668"/>
      <c r="G262" s="668"/>
      <c r="H262" s="668"/>
      <c r="I262" s="668"/>
      <c r="J262" s="668"/>
      <c r="K262" s="668"/>
      <c r="L262" s="668"/>
      <c r="M262" s="668"/>
      <c r="N262" s="668"/>
    </row>
    <row r="263" spans="1:14" hidden="1" x14ac:dyDescent="0.2">
      <c r="A263" s="668"/>
      <c r="B263" s="668"/>
      <c r="C263" s="668"/>
      <c r="D263" s="668"/>
      <c r="E263" s="668"/>
      <c r="F263" s="668"/>
      <c r="G263" s="668"/>
      <c r="H263" s="668"/>
      <c r="I263" s="668"/>
      <c r="J263" s="668"/>
      <c r="K263" s="668"/>
      <c r="L263" s="668"/>
      <c r="M263" s="668"/>
      <c r="N263" s="668"/>
    </row>
    <row r="264" spans="1:14" hidden="1" x14ac:dyDescent="0.2">
      <c r="A264" s="668"/>
      <c r="B264" s="668"/>
      <c r="C264" s="668"/>
      <c r="D264" s="668"/>
      <c r="E264" s="668"/>
      <c r="F264" s="668"/>
      <c r="G264" s="668"/>
      <c r="H264" s="668"/>
      <c r="I264" s="668"/>
      <c r="J264" s="668"/>
      <c r="K264" s="668"/>
      <c r="L264" s="668"/>
      <c r="M264" s="668"/>
      <c r="N264" s="668"/>
    </row>
    <row r="265" spans="1:14" hidden="1" x14ac:dyDescent="0.2">
      <c r="A265" s="668"/>
      <c r="B265" s="668"/>
      <c r="C265" s="668"/>
      <c r="D265" s="668"/>
      <c r="E265" s="668"/>
      <c r="F265" s="668"/>
      <c r="G265" s="668"/>
      <c r="H265" s="668"/>
      <c r="I265" s="668"/>
      <c r="J265" s="668"/>
      <c r="K265" s="668"/>
      <c r="L265" s="668"/>
      <c r="M265" s="668"/>
      <c r="N265" s="668"/>
    </row>
    <row r="266" spans="1:14" hidden="1" x14ac:dyDescent="0.2">
      <c r="A266" s="668"/>
      <c r="B266" s="668"/>
      <c r="C266" s="668"/>
      <c r="D266" s="668"/>
      <c r="E266" s="668"/>
      <c r="F266" s="668"/>
      <c r="G266" s="668"/>
      <c r="H266" s="668"/>
      <c r="I266" s="668"/>
      <c r="J266" s="668"/>
      <c r="K266" s="668"/>
      <c r="L266" s="668"/>
      <c r="M266" s="668"/>
      <c r="N266" s="668"/>
    </row>
    <row r="267" spans="1:14" hidden="1" x14ac:dyDescent="0.2">
      <c r="A267" s="668"/>
      <c r="B267" s="668"/>
      <c r="C267" s="668"/>
      <c r="D267" s="668"/>
      <c r="E267" s="668"/>
      <c r="F267" s="668"/>
      <c r="G267" s="668"/>
      <c r="H267" s="668"/>
      <c r="I267" s="668"/>
      <c r="J267" s="668"/>
      <c r="K267" s="668"/>
      <c r="L267" s="668"/>
      <c r="M267" s="668"/>
      <c r="N267" s="668"/>
    </row>
    <row r="268" spans="1:14" hidden="1" x14ac:dyDescent="0.2">
      <c r="A268" s="668"/>
      <c r="B268" s="668"/>
      <c r="C268" s="668"/>
      <c r="D268" s="668"/>
      <c r="E268" s="668"/>
      <c r="F268" s="668"/>
      <c r="G268" s="668"/>
      <c r="H268" s="668"/>
      <c r="I268" s="668"/>
      <c r="J268" s="668"/>
      <c r="K268" s="668"/>
      <c r="L268" s="668"/>
      <c r="M268" s="668"/>
      <c r="N268" s="668"/>
    </row>
    <row r="269" spans="1:14" hidden="1" x14ac:dyDescent="0.2">
      <c r="A269" s="668"/>
      <c r="B269" s="668"/>
      <c r="C269" s="668"/>
      <c r="D269" s="668"/>
      <c r="E269" s="668"/>
      <c r="F269" s="668"/>
      <c r="G269" s="668"/>
      <c r="H269" s="668"/>
      <c r="I269" s="668"/>
      <c r="J269" s="668"/>
      <c r="K269" s="668"/>
      <c r="L269" s="668"/>
      <c r="M269" s="668"/>
      <c r="N269" s="668"/>
    </row>
    <row r="270" spans="1:14" hidden="1" x14ac:dyDescent="0.2">
      <c r="A270" s="668"/>
      <c r="B270" s="668"/>
      <c r="C270" s="668"/>
      <c r="D270" s="668"/>
      <c r="E270" s="668"/>
      <c r="F270" s="668"/>
      <c r="G270" s="668"/>
      <c r="H270" s="668"/>
      <c r="I270" s="668"/>
      <c r="J270" s="668"/>
      <c r="K270" s="668"/>
      <c r="L270" s="668"/>
      <c r="M270" s="668"/>
      <c r="N270" s="668"/>
    </row>
    <row r="271" spans="1:14" hidden="1" x14ac:dyDescent="0.2">
      <c r="A271" s="668"/>
      <c r="B271" s="668"/>
      <c r="C271" s="668"/>
      <c r="D271" s="668"/>
      <c r="E271" s="668"/>
      <c r="F271" s="668"/>
      <c r="G271" s="668"/>
      <c r="H271" s="668"/>
      <c r="I271" s="668"/>
      <c r="J271" s="668"/>
      <c r="K271" s="668"/>
      <c r="L271" s="668"/>
      <c r="M271" s="668"/>
      <c r="N271" s="668"/>
    </row>
    <row r="272" spans="1:14" hidden="1" x14ac:dyDescent="0.2">
      <c r="A272" s="668"/>
      <c r="B272" s="668"/>
      <c r="C272" s="668"/>
      <c r="D272" s="668"/>
      <c r="E272" s="668"/>
      <c r="F272" s="668"/>
      <c r="G272" s="668"/>
      <c r="H272" s="668"/>
      <c r="I272" s="668"/>
      <c r="J272" s="668"/>
      <c r="K272" s="668"/>
      <c r="L272" s="668"/>
      <c r="M272" s="668"/>
      <c r="N272" s="668"/>
    </row>
    <row r="273" spans="1:14" hidden="1" x14ac:dyDescent="0.2">
      <c r="A273" s="668"/>
      <c r="B273" s="668"/>
      <c r="C273" s="668"/>
      <c r="D273" s="668"/>
      <c r="E273" s="668"/>
      <c r="F273" s="668"/>
      <c r="G273" s="668"/>
      <c r="H273" s="668"/>
      <c r="I273" s="668"/>
      <c r="J273" s="668"/>
      <c r="K273" s="668"/>
      <c r="L273" s="668"/>
      <c r="M273" s="668"/>
      <c r="N273" s="668"/>
    </row>
    <row r="274" spans="1:14" hidden="1" x14ac:dyDescent="0.2">
      <c r="A274" s="668"/>
      <c r="B274" s="668"/>
      <c r="C274" s="668"/>
      <c r="D274" s="668"/>
      <c r="E274" s="668"/>
      <c r="F274" s="668"/>
      <c r="G274" s="668"/>
      <c r="H274" s="668"/>
      <c r="I274" s="668"/>
      <c r="J274" s="668"/>
      <c r="K274" s="668"/>
      <c r="L274" s="668"/>
      <c r="M274" s="668"/>
      <c r="N274" s="668"/>
    </row>
    <row r="275" spans="1:14" hidden="1" x14ac:dyDescent="0.2">
      <c r="A275" s="668"/>
      <c r="B275" s="668"/>
      <c r="C275" s="668"/>
      <c r="D275" s="668"/>
      <c r="E275" s="668"/>
      <c r="F275" s="668"/>
      <c r="G275" s="668"/>
      <c r="H275" s="668"/>
      <c r="I275" s="668"/>
      <c r="J275" s="668"/>
      <c r="K275" s="668"/>
      <c r="L275" s="668"/>
      <c r="M275" s="668"/>
      <c r="N275" s="668"/>
    </row>
    <row r="276" spans="1:14" hidden="1" x14ac:dyDescent="0.2">
      <c r="A276" s="668"/>
      <c r="B276" s="668"/>
      <c r="C276" s="668"/>
      <c r="D276" s="668"/>
      <c r="E276" s="668"/>
      <c r="F276" s="668"/>
      <c r="G276" s="668"/>
      <c r="H276" s="668"/>
      <c r="I276" s="668"/>
      <c r="J276" s="668"/>
      <c r="K276" s="668"/>
      <c r="L276" s="668"/>
      <c r="M276" s="668"/>
      <c r="N276" s="668"/>
    </row>
    <row r="277" spans="1:14" hidden="1" x14ac:dyDescent="0.2">
      <c r="A277" s="668"/>
      <c r="B277" s="668"/>
      <c r="C277" s="668"/>
      <c r="D277" s="668"/>
      <c r="E277" s="668"/>
      <c r="F277" s="668"/>
      <c r="G277" s="668"/>
      <c r="H277" s="668"/>
      <c r="I277" s="668"/>
      <c r="J277" s="668"/>
      <c r="K277" s="668"/>
      <c r="L277" s="668"/>
      <c r="M277" s="668"/>
      <c r="N277" s="668"/>
    </row>
    <row r="278" spans="1:14" hidden="1" x14ac:dyDescent="0.2">
      <c r="A278" s="668"/>
      <c r="B278" s="668"/>
      <c r="C278" s="668"/>
      <c r="D278" s="668"/>
      <c r="E278" s="668"/>
      <c r="F278" s="668"/>
      <c r="G278" s="668"/>
      <c r="H278" s="668"/>
      <c r="I278" s="668"/>
      <c r="J278" s="668"/>
      <c r="K278" s="668"/>
      <c r="L278" s="668"/>
      <c r="M278" s="668"/>
      <c r="N278" s="668"/>
    </row>
    <row r="279" spans="1:14" hidden="1" x14ac:dyDescent="0.2">
      <c r="A279" s="668"/>
      <c r="B279" s="668"/>
      <c r="C279" s="668"/>
      <c r="D279" s="668"/>
      <c r="E279" s="668"/>
      <c r="F279" s="668"/>
      <c r="G279" s="668"/>
      <c r="H279" s="668"/>
      <c r="I279" s="668"/>
      <c r="J279" s="668"/>
      <c r="K279" s="668"/>
      <c r="L279" s="668"/>
      <c r="M279" s="668"/>
      <c r="N279" s="668"/>
    </row>
    <row r="280" spans="1:14" hidden="1" x14ac:dyDescent="0.2">
      <c r="A280" s="668"/>
      <c r="B280" s="668"/>
      <c r="C280" s="668"/>
      <c r="D280" s="668"/>
      <c r="E280" s="668"/>
      <c r="F280" s="668"/>
      <c r="G280" s="668"/>
      <c r="H280" s="668"/>
      <c r="I280" s="668"/>
      <c r="J280" s="668"/>
      <c r="K280" s="668"/>
      <c r="L280" s="668"/>
      <c r="M280" s="668"/>
      <c r="N280" s="668"/>
    </row>
    <row r="281" spans="1:14" hidden="1" x14ac:dyDescent="0.2">
      <c r="A281" s="668"/>
      <c r="B281" s="668"/>
      <c r="C281" s="668"/>
      <c r="D281" s="668"/>
      <c r="E281" s="668"/>
      <c r="F281" s="668"/>
      <c r="G281" s="668"/>
      <c r="H281" s="668"/>
      <c r="I281" s="668"/>
      <c r="J281" s="668"/>
      <c r="K281" s="668"/>
      <c r="L281" s="668"/>
      <c r="M281" s="668"/>
      <c r="N281" s="668"/>
    </row>
    <row r="282" spans="1:14" hidden="1" x14ac:dyDescent="0.2">
      <c r="A282" s="668"/>
      <c r="B282" s="668"/>
      <c r="C282" s="668"/>
      <c r="D282" s="668"/>
      <c r="E282" s="668"/>
      <c r="F282" s="668"/>
      <c r="G282" s="668"/>
      <c r="H282" s="668"/>
      <c r="I282" s="668"/>
      <c r="J282" s="668"/>
      <c r="K282" s="668"/>
      <c r="L282" s="668"/>
      <c r="M282" s="668"/>
      <c r="N282" s="668"/>
    </row>
    <row r="283" spans="1:14" hidden="1" x14ac:dyDescent="0.2">
      <c r="A283" s="668"/>
      <c r="B283" s="668"/>
      <c r="C283" s="668"/>
      <c r="D283" s="668"/>
      <c r="E283" s="668"/>
      <c r="F283" s="668"/>
      <c r="G283" s="668"/>
      <c r="H283" s="668"/>
      <c r="I283" s="668"/>
      <c r="J283" s="668"/>
      <c r="K283" s="668"/>
      <c r="L283" s="668"/>
      <c r="M283" s="668"/>
      <c r="N283" s="668"/>
    </row>
    <row r="284" spans="1:14" hidden="1" x14ac:dyDescent="0.2">
      <c r="A284" s="668"/>
      <c r="B284" s="668"/>
      <c r="C284" s="668"/>
      <c r="D284" s="668"/>
      <c r="E284" s="668"/>
      <c r="F284" s="668"/>
      <c r="G284" s="668"/>
      <c r="H284" s="668"/>
      <c r="I284" s="668"/>
      <c r="J284" s="668"/>
      <c r="K284" s="668"/>
      <c r="L284" s="668"/>
      <c r="M284" s="668"/>
      <c r="N284" s="668"/>
    </row>
    <row r="285" spans="1:14" hidden="1" x14ac:dyDescent="0.2">
      <c r="A285" s="668"/>
      <c r="B285" s="668"/>
      <c r="C285" s="668"/>
      <c r="D285" s="668"/>
      <c r="E285" s="668"/>
      <c r="F285" s="668"/>
      <c r="G285" s="668"/>
      <c r="H285" s="668"/>
      <c r="I285" s="668"/>
      <c r="J285" s="668"/>
      <c r="K285" s="668"/>
      <c r="L285" s="668"/>
      <c r="M285" s="668"/>
      <c r="N285" s="668"/>
    </row>
    <row r="286" spans="1:14" hidden="1" x14ac:dyDescent="0.2">
      <c r="A286" s="668"/>
      <c r="B286" s="668"/>
      <c r="C286" s="668"/>
      <c r="D286" s="668"/>
      <c r="E286" s="668"/>
      <c r="F286" s="668"/>
      <c r="G286" s="668"/>
      <c r="H286" s="668"/>
      <c r="I286" s="668"/>
      <c r="J286" s="668"/>
      <c r="K286" s="668"/>
      <c r="L286" s="668"/>
      <c r="M286" s="668"/>
      <c r="N286" s="668"/>
    </row>
    <row r="287" spans="1:14" hidden="1" x14ac:dyDescent="0.2">
      <c r="A287" s="668"/>
      <c r="B287" s="668"/>
      <c r="C287" s="668"/>
      <c r="D287" s="668"/>
      <c r="E287" s="668"/>
      <c r="F287" s="668"/>
      <c r="G287" s="668"/>
      <c r="H287" s="668"/>
      <c r="I287" s="668"/>
      <c r="J287" s="668"/>
      <c r="K287" s="668"/>
      <c r="L287" s="668"/>
      <c r="M287" s="668"/>
      <c r="N287" s="668"/>
    </row>
    <row r="288" spans="1:14" hidden="1" x14ac:dyDescent="0.2">
      <c r="A288" s="668"/>
      <c r="B288" s="668"/>
      <c r="C288" s="668"/>
      <c r="D288" s="668"/>
      <c r="E288" s="668"/>
      <c r="F288" s="668"/>
      <c r="G288" s="668"/>
      <c r="H288" s="668"/>
      <c r="I288" s="668"/>
      <c r="J288" s="668"/>
      <c r="K288" s="668"/>
      <c r="L288" s="668"/>
      <c r="M288" s="668"/>
      <c r="N288" s="668"/>
    </row>
    <row r="289" spans="1:14" hidden="1" x14ac:dyDescent="0.2">
      <c r="A289" s="668"/>
      <c r="B289" s="668"/>
      <c r="C289" s="668"/>
      <c r="D289" s="668"/>
      <c r="E289" s="668"/>
      <c r="F289" s="668"/>
      <c r="G289" s="668"/>
      <c r="H289" s="668"/>
      <c r="I289" s="668"/>
      <c r="J289" s="668"/>
      <c r="K289" s="668"/>
      <c r="L289" s="668"/>
      <c r="M289" s="668"/>
      <c r="N289" s="668"/>
    </row>
    <row r="290" spans="1:14" hidden="1" x14ac:dyDescent="0.2">
      <c r="A290" s="668"/>
      <c r="B290" s="668"/>
      <c r="C290" s="668"/>
      <c r="D290" s="668"/>
      <c r="E290" s="668"/>
      <c r="F290" s="668"/>
      <c r="G290" s="668"/>
      <c r="H290" s="668"/>
      <c r="I290" s="668"/>
      <c r="J290" s="668"/>
      <c r="K290" s="668"/>
      <c r="L290" s="668"/>
      <c r="M290" s="668"/>
      <c r="N290" s="668"/>
    </row>
    <row r="291" spans="1:14" hidden="1" x14ac:dyDescent="0.2">
      <c r="A291" s="668"/>
      <c r="B291" s="668"/>
      <c r="C291" s="668"/>
      <c r="D291" s="668"/>
      <c r="E291" s="668"/>
      <c r="F291" s="668"/>
      <c r="G291" s="668"/>
      <c r="H291" s="668"/>
      <c r="I291" s="668"/>
      <c r="J291" s="668"/>
      <c r="K291" s="668"/>
      <c r="L291" s="668"/>
      <c r="M291" s="668"/>
      <c r="N291" s="668"/>
    </row>
    <row r="292" spans="1:14" hidden="1" x14ac:dyDescent="0.2">
      <c r="A292" s="668"/>
      <c r="B292" s="668"/>
      <c r="C292" s="668"/>
      <c r="D292" s="668"/>
      <c r="E292" s="668"/>
      <c r="F292" s="668"/>
      <c r="G292" s="668"/>
      <c r="H292" s="668"/>
      <c r="I292" s="668"/>
      <c r="J292" s="668"/>
      <c r="K292" s="668"/>
      <c r="L292" s="668"/>
      <c r="M292" s="668"/>
      <c r="N292" s="668"/>
    </row>
    <row r="293" spans="1:14" hidden="1" x14ac:dyDescent="0.2">
      <c r="A293" s="668"/>
      <c r="B293" s="668"/>
      <c r="C293" s="668"/>
      <c r="D293" s="668"/>
      <c r="E293" s="668"/>
      <c r="F293" s="668"/>
      <c r="G293" s="668"/>
      <c r="H293" s="668"/>
      <c r="I293" s="668"/>
      <c r="J293" s="668"/>
      <c r="K293" s="668"/>
      <c r="L293" s="668"/>
      <c r="M293" s="668"/>
      <c r="N293" s="668"/>
    </row>
    <row r="294" spans="1:14" hidden="1" x14ac:dyDescent="0.2">
      <c r="A294" s="668"/>
      <c r="B294" s="668"/>
      <c r="C294" s="668"/>
      <c r="D294" s="668"/>
      <c r="E294" s="668"/>
      <c r="F294" s="668"/>
      <c r="G294" s="668"/>
      <c r="H294" s="668"/>
      <c r="I294" s="668"/>
      <c r="J294" s="668"/>
      <c r="K294" s="668"/>
      <c r="L294" s="668"/>
      <c r="M294" s="668"/>
      <c r="N294" s="668"/>
    </row>
    <row r="295" spans="1:14" hidden="1" x14ac:dyDescent="0.2">
      <c r="A295" s="668"/>
      <c r="B295" s="668"/>
      <c r="C295" s="668"/>
      <c r="D295" s="668"/>
      <c r="E295" s="668"/>
      <c r="F295" s="668"/>
      <c r="G295" s="668"/>
      <c r="H295" s="668"/>
      <c r="I295" s="668"/>
      <c r="J295" s="668"/>
      <c r="K295" s="668"/>
      <c r="L295" s="668"/>
      <c r="M295" s="668"/>
      <c r="N295" s="668"/>
    </row>
    <row r="296" spans="1:14" hidden="1" x14ac:dyDescent="0.2">
      <c r="A296" s="668"/>
      <c r="B296" s="668"/>
      <c r="C296" s="668"/>
      <c r="D296" s="668"/>
      <c r="E296" s="668"/>
      <c r="F296" s="668"/>
      <c r="G296" s="668"/>
      <c r="H296" s="668"/>
      <c r="I296" s="668"/>
      <c r="J296" s="668"/>
      <c r="K296" s="668"/>
      <c r="L296" s="668"/>
      <c r="M296" s="668"/>
      <c r="N296" s="668"/>
    </row>
    <row r="297" spans="1:14" hidden="1" x14ac:dyDescent="0.2">
      <c r="A297" s="668"/>
      <c r="B297" s="668"/>
      <c r="C297" s="668"/>
      <c r="D297" s="668"/>
      <c r="E297" s="668"/>
      <c r="F297" s="668"/>
      <c r="G297" s="668"/>
      <c r="H297" s="668"/>
      <c r="I297" s="668"/>
      <c r="J297" s="668"/>
      <c r="K297" s="668"/>
      <c r="L297" s="668"/>
      <c r="M297" s="668"/>
      <c r="N297" s="668"/>
    </row>
    <row r="298" spans="1:14" x14ac:dyDescent="0.2">
      <c r="A298" s="32"/>
      <c r="B298" s="32"/>
      <c r="C298" s="32"/>
      <c r="D298" s="32"/>
      <c r="E298" s="32"/>
      <c r="F298" s="32"/>
      <c r="G298" s="32"/>
      <c r="H298" s="32"/>
      <c r="I298" s="32"/>
    </row>
    <row r="299" spans="1:14" x14ac:dyDescent="0.2">
      <c r="A299" s="32"/>
      <c r="B299" s="32"/>
      <c r="C299" s="278" t="s">
        <v>190</v>
      </c>
      <c r="D299" s="32"/>
      <c r="E299" s="32"/>
      <c r="F299" s="32"/>
      <c r="G299" s="32"/>
      <c r="H299" s="32"/>
      <c r="I299" s="32"/>
    </row>
    <row r="300" spans="1:14" x14ac:dyDescent="0.2">
      <c r="A300" s="182">
        <v>1</v>
      </c>
      <c r="B300" s="589" t="str">
        <f>IFERROR(INDEX(H$100:H$300,MATCH(A300&amp;". koht",H$101:H$301,0)),"")</f>
        <v>Elmo Lageda</v>
      </c>
      <c r="C300" s="55">
        <v>40</v>
      </c>
      <c r="F300" s="32"/>
      <c r="G300" s="32"/>
      <c r="I300" s="32"/>
    </row>
    <row r="301" spans="1:14" x14ac:dyDescent="0.2">
      <c r="A301" s="182">
        <v>2</v>
      </c>
      <c r="B301" s="590" t="str">
        <f t="shared" ref="B301:B314" si="16">IFERROR(INDEX(H$100:H$300,MATCH(A301&amp;". koht",H$101:H$301,0)),"")</f>
        <v>Tõnu Piik</v>
      </c>
      <c r="C301" s="55">
        <v>34</v>
      </c>
      <c r="F301" s="32"/>
      <c r="G301" s="32"/>
      <c r="I301" s="32"/>
    </row>
    <row r="302" spans="1:14" x14ac:dyDescent="0.2">
      <c r="A302" s="182">
        <v>3</v>
      </c>
      <c r="B302" s="591" t="str">
        <f t="shared" si="16"/>
        <v>Boriss Klubov</v>
      </c>
      <c r="C302" s="55">
        <v>30</v>
      </c>
      <c r="F302" s="32"/>
      <c r="G302" s="32"/>
      <c r="I302" s="32"/>
    </row>
    <row r="303" spans="1:14" x14ac:dyDescent="0.2">
      <c r="A303" s="182">
        <v>4</v>
      </c>
      <c r="B303" s="175" t="str">
        <f t="shared" si="16"/>
        <v>Aarne Välja</v>
      </c>
      <c r="C303" s="55">
        <v>26</v>
      </c>
      <c r="F303" s="32"/>
      <c r="G303" s="32"/>
      <c r="I303" s="32"/>
    </row>
    <row r="304" spans="1:14" x14ac:dyDescent="0.2">
      <c r="A304" s="182">
        <v>5</v>
      </c>
      <c r="B304" s="175" t="str">
        <f t="shared" si="16"/>
        <v>Andrei Grintšak</v>
      </c>
      <c r="C304" s="32">
        <v>24</v>
      </c>
      <c r="F304" s="32"/>
      <c r="G304" s="32"/>
      <c r="I304" s="32"/>
    </row>
    <row r="305" spans="1:9" x14ac:dyDescent="0.2">
      <c r="A305" s="182">
        <v>6</v>
      </c>
      <c r="B305" s="175" t="str">
        <f t="shared" si="16"/>
        <v>Andres Veski</v>
      </c>
      <c r="C305" s="32">
        <v>22</v>
      </c>
      <c r="F305" s="32"/>
      <c r="G305" s="32"/>
      <c r="I305" s="32"/>
    </row>
    <row r="306" spans="1:9" x14ac:dyDescent="0.2">
      <c r="A306" s="182">
        <v>7</v>
      </c>
      <c r="B306" s="175" t="str">
        <f t="shared" si="16"/>
        <v>Vladimir Ogneštšikov</v>
      </c>
      <c r="C306" s="32">
        <v>20</v>
      </c>
      <c r="F306" s="32"/>
      <c r="G306" s="32"/>
      <c r="I306" s="32"/>
    </row>
    <row r="307" spans="1:9" x14ac:dyDescent="0.2">
      <c r="A307" s="182">
        <v>8</v>
      </c>
      <c r="B307" s="175" t="str">
        <f t="shared" si="16"/>
        <v>Tõnu Kapper</v>
      </c>
      <c r="C307" s="32">
        <v>18</v>
      </c>
      <c r="F307" s="32"/>
      <c r="G307" s="32"/>
      <c r="I307" s="32"/>
    </row>
    <row r="308" spans="1:9" x14ac:dyDescent="0.2">
      <c r="A308" s="182">
        <v>9</v>
      </c>
      <c r="B308" s="175" t="str">
        <f t="shared" si="16"/>
        <v>Jaan Sepp</v>
      </c>
      <c r="C308" s="32">
        <v>16</v>
      </c>
      <c r="F308" s="32"/>
      <c r="G308" s="32"/>
      <c r="I308" s="32"/>
    </row>
    <row r="309" spans="1:9" x14ac:dyDescent="0.2">
      <c r="A309" s="182">
        <v>10</v>
      </c>
      <c r="B309" s="175" t="str">
        <f t="shared" si="16"/>
        <v>Oleg Rõndenkov</v>
      </c>
      <c r="C309" s="32">
        <v>14</v>
      </c>
    </row>
    <row r="310" spans="1:9" x14ac:dyDescent="0.2">
      <c r="A310" s="182">
        <v>11</v>
      </c>
      <c r="B310" s="175" t="str">
        <f t="shared" si="16"/>
        <v>Ülo Piik</v>
      </c>
      <c r="C310" s="32">
        <v>12</v>
      </c>
    </row>
    <row r="311" spans="1:9" x14ac:dyDescent="0.2">
      <c r="A311" s="182">
        <v>12</v>
      </c>
      <c r="B311" s="175" t="str">
        <f t="shared" si="16"/>
        <v>Oksana Sažina</v>
      </c>
      <c r="C311" s="32">
        <v>10</v>
      </c>
    </row>
    <row r="312" spans="1:9" x14ac:dyDescent="0.2">
      <c r="A312" s="182">
        <v>13</v>
      </c>
      <c r="B312" s="175" t="str">
        <f t="shared" si="16"/>
        <v>Lemmit Toomra</v>
      </c>
      <c r="C312" s="32">
        <v>8</v>
      </c>
    </row>
    <row r="313" spans="1:9" x14ac:dyDescent="0.2">
      <c r="A313" s="182">
        <v>14</v>
      </c>
      <c r="B313" s="175" t="str">
        <f t="shared" si="16"/>
        <v>Mikk Neem</v>
      </c>
      <c r="C313" s="32">
        <v>6</v>
      </c>
    </row>
    <row r="314" spans="1:9" x14ac:dyDescent="0.2">
      <c r="A314" s="182">
        <v>15</v>
      </c>
      <c r="B314" s="175" t="str">
        <f t="shared" si="16"/>
        <v>Kenneth Muusikus</v>
      </c>
      <c r="C314" s="32">
        <v>2.2999999999999998</v>
      </c>
    </row>
    <row r="315" spans="1:9" x14ac:dyDescent="0.2">
      <c r="A315" s="182">
        <v>15</v>
      </c>
      <c r="B315" s="175" t="s">
        <v>206</v>
      </c>
      <c r="C315" s="32">
        <v>2.2999999999999998</v>
      </c>
    </row>
    <row r="316" spans="1:9" x14ac:dyDescent="0.2">
      <c r="A316" s="182">
        <v>15</v>
      </c>
      <c r="B316" s="175" t="s">
        <v>90</v>
      </c>
      <c r="C316" s="32">
        <v>2.2999999999999998</v>
      </c>
    </row>
  </sheetData>
  <conditionalFormatting sqref="B300:B316">
    <cfRule type="containsBlanks" dxfId="2073" priority="325">
      <formula>LEN(TRIM(B300))=0</formula>
    </cfRule>
    <cfRule type="duplicateValues" dxfId="2072" priority="326"/>
  </conditionalFormatting>
  <conditionalFormatting sqref="D7 C8">
    <cfRule type="aboveAverage" dxfId="2071" priority="324"/>
  </conditionalFormatting>
  <conditionalFormatting sqref="E7 C9">
    <cfRule type="aboveAverage" dxfId="2070" priority="323"/>
  </conditionalFormatting>
  <conditionalFormatting sqref="F7 C10">
    <cfRule type="aboveAverage" dxfId="2069" priority="322"/>
  </conditionalFormatting>
  <conditionalFormatting sqref="E8 D9">
    <cfRule type="aboveAverage" dxfId="2068" priority="321"/>
  </conditionalFormatting>
  <conditionalFormatting sqref="G7 C11">
    <cfRule type="aboveAverage" dxfId="2067" priority="320"/>
  </conditionalFormatting>
  <conditionalFormatting sqref="F8 D10">
    <cfRule type="aboveAverage" dxfId="2066" priority="319"/>
  </conditionalFormatting>
  <conditionalFormatting sqref="G8 D11">
    <cfRule type="aboveAverage" dxfId="2065" priority="318"/>
  </conditionalFormatting>
  <conditionalFormatting sqref="F9 E10">
    <cfRule type="aboveAverage" dxfId="2064" priority="317"/>
  </conditionalFormatting>
  <conditionalFormatting sqref="G9 E11">
    <cfRule type="aboveAverage" dxfId="2063" priority="316"/>
  </conditionalFormatting>
  <conditionalFormatting sqref="F11 G10">
    <cfRule type="aboveAverage" dxfId="2062" priority="315"/>
  </conditionalFormatting>
  <conditionalFormatting sqref="K14:K18">
    <cfRule type="expression" dxfId="2061" priority="307">
      <formula>AND(J14=3,IF(COUNTIF(J$14:J$18,"=3")&gt;=2,TRUE))</formula>
    </cfRule>
    <cfRule type="expression" dxfId="2060" priority="313">
      <formula>AND(J14=1,IF(COUNTIF(J$14:J$18,"=1")&gt;=2,TRUE))</formula>
    </cfRule>
    <cfRule type="expression" dxfId="2059" priority="314">
      <formula>AND(J14=2,IF(COUNTIF(J$14:J$18,"=2")&gt;=2,TRUE))</formula>
    </cfRule>
  </conditionalFormatting>
  <conditionalFormatting sqref="K21:K25">
    <cfRule type="expression" dxfId="2058" priority="306">
      <formula>AND(J21=3,IF(COUNTIF(J$21:J$25,"=3")&gt;=2,TRUE))</formula>
    </cfRule>
    <cfRule type="expression" dxfId="2057" priority="311">
      <formula>AND(J21=1,IF(COUNTIF(J$21:J$25,"=1")&gt;=2,TRUE))</formula>
    </cfRule>
    <cfRule type="expression" dxfId="2056" priority="312">
      <formula>AND(J21=2,IF(COUNTIF(J$21:J$25,"=2")&gt;=2,TRUE))</formula>
    </cfRule>
  </conditionalFormatting>
  <conditionalFormatting sqref="K7:K11">
    <cfRule type="expression" dxfId="2055" priority="308">
      <formula>AND(J7=3,IF(COUNTIF(J$7:J$11,"=3")&gt;=2,TRUE))</formula>
    </cfRule>
    <cfRule type="expression" dxfId="2054" priority="309">
      <formula>AND(J7=1,IF(COUNTIF(J$7:J$11,"=1")&gt;=2,TRUE))</formula>
    </cfRule>
    <cfRule type="expression" dxfId="2053" priority="310">
      <formula>AND(J7=2,IF(COUNTIF(J$7:J$11,"=2")&gt;=2,TRUE))</formula>
    </cfRule>
  </conditionalFormatting>
  <conditionalFormatting sqref="H7:H11">
    <cfRule type="expression" dxfId="2052" priority="297">
      <formula>AND(J7=1,IF(COUNTIF(J$7:J$11,"=1")&gt;=2,TRUE))</formula>
    </cfRule>
    <cfRule type="expression" dxfId="2051" priority="304">
      <formula>AND(J7=3,IF(COUNTIF(J$7:J$11,"=3")&gt;=2,TRUE))</formula>
    </cfRule>
    <cfRule type="expression" dxfId="2050" priority="305">
      <formula>AND(J7=2,IF(COUNTIF(J$7:J$11,"=2")&gt;=2,TRUE))</formula>
    </cfRule>
  </conditionalFormatting>
  <conditionalFormatting sqref="H14:H18">
    <cfRule type="expression" dxfId="2049" priority="298">
      <formula>AND(J14=1,IF(COUNTIF(J$14:J$18,"=1")&gt;=2,TRUE))</formula>
    </cfRule>
    <cfRule type="expression" dxfId="2048" priority="302">
      <formula>AND(J14=3,IF(COUNTIF(J$14:J$18,"=3")&gt;=2,TRUE))</formula>
    </cfRule>
    <cfRule type="expression" dxfId="2047" priority="303">
      <formula>AND(J14=2,IF(COUNTIF(J$14:J$18,"=2")&gt;=2,TRUE))</formula>
    </cfRule>
  </conditionalFormatting>
  <conditionalFormatting sqref="H21:H25">
    <cfRule type="expression" dxfId="2046" priority="299">
      <formula>AND(J21=1,IF(COUNTIF(J$21:J$25,"=1")&gt;=2,TRUE))</formula>
    </cfRule>
    <cfRule type="expression" dxfId="2045" priority="300">
      <formula>AND(J21=3,IF(COUNTIF(J$21:J$25,"=3")&gt;=2,TRUE))</formula>
    </cfRule>
    <cfRule type="expression" dxfId="2044" priority="301">
      <formula>AND(J21=2,IF(COUNTIF(J$21:J$25,"=2")&gt;=2,TRUE))</formula>
    </cfRule>
  </conditionalFormatting>
  <conditionalFormatting sqref="C69 C73:C74">
    <cfRule type="aboveAverage" dxfId="2043" priority="296"/>
  </conditionalFormatting>
  <conditionalFormatting sqref="D69 D73:D74">
    <cfRule type="aboveAverage" dxfId="2042" priority="295"/>
  </conditionalFormatting>
  <conditionalFormatting sqref="K28:K32">
    <cfRule type="expression" dxfId="2041" priority="292">
      <formula>AND(J28=3,IF(COUNTIF(J$28:J$32,"=3")&gt;=2,TRUE))</formula>
    </cfRule>
    <cfRule type="expression" dxfId="2040" priority="293">
      <formula>AND(J28=1,IF(COUNTIF(J$28:J$32,"=1")&gt;=2,TRUE))</formula>
    </cfRule>
  </conditionalFormatting>
  <conditionalFormatting sqref="H28:H32">
    <cfRule type="expression" dxfId="2039" priority="289">
      <formula>AND(J28=1,IF(COUNTIF(J$28:J$32,"=1")&gt;=2,TRUE))</formula>
    </cfRule>
    <cfRule type="expression" dxfId="2038" priority="290">
      <formula>AND(J28=3,IF(COUNTIF(J$28:J$32,"=3")&gt;=2,TRUE))</formula>
    </cfRule>
  </conditionalFormatting>
  <conditionalFormatting sqref="D14 C15">
    <cfRule type="aboveAverage" dxfId="2037" priority="288"/>
  </conditionalFormatting>
  <conditionalFormatting sqref="E14 C16">
    <cfRule type="aboveAverage" dxfId="2036" priority="287"/>
  </conditionalFormatting>
  <conditionalFormatting sqref="F14 C17">
    <cfRule type="aboveAverage" dxfId="2035" priority="286"/>
  </conditionalFormatting>
  <conditionalFormatting sqref="E15 D16">
    <cfRule type="aboveAverage" dxfId="2034" priority="285"/>
  </conditionalFormatting>
  <conditionalFormatting sqref="G14 C18">
    <cfRule type="aboveAverage" dxfId="2033" priority="284"/>
  </conditionalFormatting>
  <conditionalFormatting sqref="F15 D17">
    <cfRule type="aboveAverage" dxfId="2032" priority="283"/>
  </conditionalFormatting>
  <conditionalFormatting sqref="G15 D18">
    <cfRule type="aboveAverage" dxfId="2031" priority="282"/>
  </conditionalFormatting>
  <conditionalFormatting sqref="F16 E17">
    <cfRule type="aboveAverage" dxfId="2030" priority="281"/>
  </conditionalFormatting>
  <conditionalFormatting sqref="G16 E18">
    <cfRule type="aboveAverage" dxfId="2029" priority="280"/>
  </conditionalFormatting>
  <conditionalFormatting sqref="F18 G17">
    <cfRule type="aboveAverage" dxfId="2028" priority="279"/>
  </conditionalFormatting>
  <conditionalFormatting sqref="D21 C22">
    <cfRule type="aboveAverage" dxfId="2027" priority="278"/>
  </conditionalFormatting>
  <conditionalFormatting sqref="E21 C23">
    <cfRule type="aboveAverage" dxfId="2026" priority="277"/>
  </conditionalFormatting>
  <conditionalFormatting sqref="F21 C24">
    <cfRule type="aboveAverage" dxfId="2025" priority="276"/>
  </conditionalFormatting>
  <conditionalFormatting sqref="E22 D23">
    <cfRule type="aboveAverage" dxfId="2024" priority="275"/>
  </conditionalFormatting>
  <conditionalFormatting sqref="G21 C25">
    <cfRule type="aboveAverage" dxfId="2023" priority="274"/>
  </conditionalFormatting>
  <conditionalFormatting sqref="F22 D24">
    <cfRule type="aboveAverage" dxfId="2022" priority="273"/>
  </conditionalFormatting>
  <conditionalFormatting sqref="G22 D25">
    <cfRule type="aboveAverage" dxfId="2021" priority="272"/>
  </conditionalFormatting>
  <conditionalFormatting sqref="F23 E24">
    <cfRule type="aboveAverage" dxfId="2020" priority="271"/>
  </conditionalFormatting>
  <conditionalFormatting sqref="G23 E25">
    <cfRule type="aboveAverage" dxfId="2019" priority="270"/>
  </conditionalFormatting>
  <conditionalFormatting sqref="F25 G24">
    <cfRule type="aboveAverage" dxfId="2018" priority="269"/>
  </conditionalFormatting>
  <conditionalFormatting sqref="D28 C29">
    <cfRule type="aboveAverage" dxfId="2017" priority="268"/>
  </conditionalFormatting>
  <conditionalFormatting sqref="E28 C30">
    <cfRule type="aboveAverage" dxfId="2016" priority="267"/>
  </conditionalFormatting>
  <conditionalFormatting sqref="F28 C31">
    <cfRule type="aboveAverage" dxfId="2015" priority="266"/>
  </conditionalFormatting>
  <conditionalFormatting sqref="E29 D30">
    <cfRule type="aboveAverage" dxfId="2014" priority="265"/>
  </conditionalFormatting>
  <conditionalFormatting sqref="G28 C32">
    <cfRule type="aboveAverage" dxfId="2013" priority="264"/>
  </conditionalFormatting>
  <conditionalFormatting sqref="F29 D31">
    <cfRule type="aboveAverage" dxfId="2012" priority="263"/>
  </conditionalFormatting>
  <conditionalFormatting sqref="G29 D32">
    <cfRule type="aboveAverage" dxfId="2011" priority="262"/>
  </conditionalFormatting>
  <conditionalFormatting sqref="F30 E31">
    <cfRule type="aboveAverage" dxfId="2010" priority="261"/>
  </conditionalFormatting>
  <conditionalFormatting sqref="G30 E32">
    <cfRule type="aboveAverage" dxfId="2009" priority="260"/>
  </conditionalFormatting>
  <conditionalFormatting sqref="F32 G31">
    <cfRule type="aboveAverage" dxfId="2008" priority="259"/>
  </conditionalFormatting>
  <conditionalFormatting sqref="D35 C36">
    <cfRule type="aboveAverage" dxfId="2007" priority="257"/>
  </conditionalFormatting>
  <conditionalFormatting sqref="E35 C37">
    <cfRule type="aboveAverage" dxfId="2006" priority="256"/>
  </conditionalFormatting>
  <conditionalFormatting sqref="F35 C38">
    <cfRule type="aboveAverage" dxfId="2005" priority="255"/>
  </conditionalFormatting>
  <conditionalFormatting sqref="E36 D37">
    <cfRule type="aboveAverage" dxfId="2004" priority="254"/>
  </conditionalFormatting>
  <conditionalFormatting sqref="G35 C39">
    <cfRule type="aboveAverage" dxfId="2003" priority="253"/>
  </conditionalFormatting>
  <conditionalFormatting sqref="F36 D38">
    <cfRule type="aboveAverage" dxfId="2002" priority="252"/>
  </conditionalFormatting>
  <conditionalFormatting sqref="G36 D39">
    <cfRule type="aboveAverage" dxfId="2001" priority="251"/>
  </conditionalFormatting>
  <conditionalFormatting sqref="F37 E38">
    <cfRule type="aboveAverage" dxfId="2000" priority="250"/>
  </conditionalFormatting>
  <conditionalFormatting sqref="G37 E39">
    <cfRule type="aboveAverage" dxfId="1999" priority="249"/>
  </conditionalFormatting>
  <conditionalFormatting sqref="F39 G38">
    <cfRule type="aboveAverage" dxfId="1998" priority="248"/>
  </conditionalFormatting>
  <conditionalFormatting sqref="K42:K46">
    <cfRule type="expression" dxfId="1997" priority="240">
      <formula>AND(J42=3,IF(COUNTIF(J$14:J$18,"=3")&gt;=2,TRUE))</formula>
    </cfRule>
    <cfRule type="expression" dxfId="1996" priority="246">
      <formula>AND(J42=1,IF(COUNTIF(J$14:J$18,"=1")&gt;=2,TRUE))</formula>
    </cfRule>
    <cfRule type="expression" dxfId="1995" priority="247">
      <formula>AND(J42=2,IF(COUNTIF(J$14:J$18,"=2")&gt;=2,TRUE))</formula>
    </cfRule>
  </conditionalFormatting>
  <conditionalFormatting sqref="K49:K53">
    <cfRule type="expression" dxfId="1994" priority="239">
      <formula>AND(J49=3,IF(COUNTIF(J$21:J$25,"=3")&gt;=2,TRUE))</formula>
    </cfRule>
    <cfRule type="expression" dxfId="1993" priority="244">
      <formula>AND(J49=1,IF(COUNTIF(J$21:J$25,"=1")&gt;=2,TRUE))</formula>
    </cfRule>
    <cfRule type="expression" dxfId="1992" priority="245">
      <formula>AND(J49=2,IF(COUNTIF(J$21:J$25,"=2")&gt;=2,TRUE))</formula>
    </cfRule>
  </conditionalFormatting>
  <conditionalFormatting sqref="K35:K39">
    <cfRule type="expression" dxfId="1991" priority="241">
      <formula>AND(J35=3,IF(COUNTIF(J$7:J$11,"=3")&gt;=2,TRUE))</formula>
    </cfRule>
    <cfRule type="expression" dxfId="1990" priority="242">
      <formula>AND(J35=1,IF(COUNTIF(J$7:J$11,"=1")&gt;=2,TRUE))</formula>
    </cfRule>
    <cfRule type="expression" dxfId="1989" priority="243">
      <formula>AND(J35=2,IF(COUNTIF(J$7:J$11,"=2")&gt;=2,TRUE))</formula>
    </cfRule>
  </conditionalFormatting>
  <conditionalFormatting sqref="H35:H39">
    <cfRule type="expression" dxfId="1988" priority="230">
      <formula>AND(J35=1,IF(COUNTIF(J$7:J$11,"=1")&gt;=2,TRUE))</formula>
    </cfRule>
    <cfRule type="expression" dxfId="1987" priority="237">
      <formula>AND(J35=3,IF(COUNTIF(J$7:J$11,"=3")&gt;=2,TRUE))</formula>
    </cfRule>
    <cfRule type="expression" dxfId="1986" priority="238">
      <formula>AND(J35=2,IF(COUNTIF(J$7:J$11,"=2")&gt;=2,TRUE))</formula>
    </cfRule>
  </conditionalFormatting>
  <conditionalFormatting sqref="H42:H46">
    <cfRule type="expression" dxfId="1985" priority="231">
      <formula>AND(J42=1,IF(COUNTIF(J$14:J$18,"=1")&gt;=2,TRUE))</formula>
    </cfRule>
    <cfRule type="expression" dxfId="1984" priority="235">
      <formula>AND(J42=3,IF(COUNTIF(J$14:J$18,"=3")&gt;=2,TRUE))</formula>
    </cfRule>
    <cfRule type="expression" dxfId="1983" priority="236">
      <formula>AND(J42=2,IF(COUNTIF(J$14:J$18,"=2")&gt;=2,TRUE))</formula>
    </cfRule>
  </conditionalFormatting>
  <conditionalFormatting sqref="H49:H53">
    <cfRule type="expression" dxfId="1982" priority="232">
      <formula>AND(J49=1,IF(COUNTIF(J$21:J$25,"=1")&gt;=2,TRUE))</formula>
    </cfRule>
    <cfRule type="expression" dxfId="1981" priority="233">
      <formula>AND(J49=3,IF(COUNTIF(J$21:J$25,"=3")&gt;=2,TRUE))</formula>
    </cfRule>
    <cfRule type="expression" dxfId="1980" priority="234">
      <formula>AND(J49=2,IF(COUNTIF(J$21:J$25,"=2")&gt;=2,TRUE))</formula>
    </cfRule>
  </conditionalFormatting>
  <conditionalFormatting sqref="K56:K60">
    <cfRule type="expression" dxfId="1979" priority="227">
      <formula>AND(J56=3,IF(COUNTIF(J$28:J$32,"=3")&gt;=2,TRUE))</formula>
    </cfRule>
    <cfRule type="expression" dxfId="1978" priority="228">
      <formula>AND(J56=1,IF(COUNTIF(J$28:J$32,"=1")&gt;=2,TRUE))</formula>
    </cfRule>
    <cfRule type="expression" dxfId="1977" priority="229">
      <formula>AND(J56=2,IF(COUNTIF(J$28:J$32,"=2")&gt;=2,TRUE))</formula>
    </cfRule>
  </conditionalFormatting>
  <conditionalFormatting sqref="H56:H60">
    <cfRule type="expression" dxfId="1976" priority="224">
      <formula>AND(J56=1,IF(COUNTIF(J$28:J$32,"=1")&gt;=2,TRUE))</formula>
    </cfRule>
    <cfRule type="expression" dxfId="1975" priority="225">
      <formula>AND(J56=3,IF(COUNTIF(J$28:J$32,"=3")&gt;=2,TRUE))</formula>
    </cfRule>
    <cfRule type="expression" dxfId="1974" priority="226">
      <formula>AND(J56=2,IF(COUNTIF(J$28:J$32,"=2")&gt;=2,TRUE))</formula>
    </cfRule>
  </conditionalFormatting>
  <conditionalFormatting sqref="B37">
    <cfRule type="duplicateValues" dxfId="1973" priority="258"/>
  </conditionalFormatting>
  <conditionalFormatting sqref="D42 C43">
    <cfRule type="aboveAverage" dxfId="1972" priority="222"/>
  </conditionalFormatting>
  <conditionalFormatting sqref="E42 C44">
    <cfRule type="aboveAverage" dxfId="1971" priority="221"/>
  </conditionalFormatting>
  <conditionalFormatting sqref="F42 C45">
    <cfRule type="aboveAverage" dxfId="1970" priority="220"/>
  </conditionalFormatting>
  <conditionalFormatting sqref="E43 D44">
    <cfRule type="aboveAverage" dxfId="1969" priority="219"/>
  </conditionalFormatting>
  <conditionalFormatting sqref="G42 C46">
    <cfRule type="aboveAverage" dxfId="1968" priority="218"/>
  </conditionalFormatting>
  <conditionalFormatting sqref="F43 D45">
    <cfRule type="aboveAverage" dxfId="1967" priority="217"/>
  </conditionalFormatting>
  <conditionalFormatting sqref="G43 D46">
    <cfRule type="aboveAverage" dxfId="1966" priority="216"/>
  </conditionalFormatting>
  <conditionalFormatting sqref="F44 E45">
    <cfRule type="aboveAverage" dxfId="1965" priority="215"/>
  </conditionalFormatting>
  <conditionalFormatting sqref="G44 E46">
    <cfRule type="aboveAverage" dxfId="1964" priority="214"/>
  </conditionalFormatting>
  <conditionalFormatting sqref="F46 G45">
    <cfRule type="aboveAverage" dxfId="1963" priority="213"/>
  </conditionalFormatting>
  <conditionalFormatting sqref="B44">
    <cfRule type="duplicateValues" dxfId="1962" priority="223"/>
  </conditionalFormatting>
  <conditionalFormatting sqref="D49 C50">
    <cfRule type="aboveAverage" dxfId="1961" priority="211"/>
  </conditionalFormatting>
  <conditionalFormatting sqref="E49 C51">
    <cfRule type="aboveAverage" dxfId="1960" priority="210"/>
  </conditionalFormatting>
  <conditionalFormatting sqref="F49 C52">
    <cfRule type="aboveAverage" dxfId="1959" priority="209"/>
  </conditionalFormatting>
  <conditionalFormatting sqref="E50 D51">
    <cfRule type="aboveAverage" dxfId="1958" priority="208"/>
  </conditionalFormatting>
  <conditionalFormatting sqref="G49 C53">
    <cfRule type="aboveAverage" dxfId="1957" priority="207"/>
  </conditionalFormatting>
  <conditionalFormatting sqref="F50 D52">
    <cfRule type="aboveAverage" dxfId="1956" priority="206"/>
  </conditionalFormatting>
  <conditionalFormatting sqref="G50 D53">
    <cfRule type="aboveAverage" dxfId="1955" priority="205"/>
  </conditionalFormatting>
  <conditionalFormatting sqref="F51 E52">
    <cfRule type="aboveAverage" dxfId="1954" priority="204"/>
  </conditionalFormatting>
  <conditionalFormatting sqref="G51 E53">
    <cfRule type="aboveAverage" dxfId="1953" priority="203"/>
  </conditionalFormatting>
  <conditionalFormatting sqref="F53 G52">
    <cfRule type="aboveAverage" dxfId="1952" priority="202"/>
  </conditionalFormatting>
  <conditionalFormatting sqref="B51">
    <cfRule type="duplicateValues" dxfId="1951" priority="212"/>
  </conditionalFormatting>
  <conditionalFormatting sqref="D56 C57">
    <cfRule type="aboveAverage" dxfId="1950" priority="200"/>
  </conditionalFormatting>
  <conditionalFormatting sqref="E56 C58">
    <cfRule type="aboveAverage" dxfId="1949" priority="199"/>
  </conditionalFormatting>
  <conditionalFormatting sqref="F56 C59">
    <cfRule type="aboveAverage" dxfId="1948" priority="198"/>
  </conditionalFormatting>
  <conditionalFormatting sqref="E57 D58">
    <cfRule type="aboveAverage" dxfId="1947" priority="197"/>
  </conditionalFormatting>
  <conditionalFormatting sqref="G56 C60">
    <cfRule type="aboveAverage" dxfId="1946" priority="196"/>
  </conditionalFormatting>
  <conditionalFormatting sqref="F57 D59">
    <cfRule type="aboveAverage" dxfId="1945" priority="195"/>
  </conditionalFormatting>
  <conditionalFormatting sqref="G57 D60">
    <cfRule type="aboveAverage" dxfId="1944" priority="194"/>
  </conditionalFormatting>
  <conditionalFormatting sqref="F58 E59">
    <cfRule type="aboveAverage" dxfId="1943" priority="193"/>
  </conditionalFormatting>
  <conditionalFormatting sqref="G58 E60">
    <cfRule type="aboveAverage" dxfId="1942" priority="192"/>
  </conditionalFormatting>
  <conditionalFormatting sqref="F60 G59">
    <cfRule type="aboveAverage" dxfId="1941" priority="191"/>
  </conditionalFormatting>
  <conditionalFormatting sqref="B58">
    <cfRule type="duplicateValues" dxfId="1940" priority="201"/>
  </conditionalFormatting>
  <conditionalFormatting sqref="G161 G165 G168 G170">
    <cfRule type="containsBlanks" dxfId="1939" priority="157">
      <formula>LEN(TRIM(G161))=0</formula>
    </cfRule>
  </conditionalFormatting>
  <conditionalFormatting sqref="C143 C145 C147 C149 C151 C153">
    <cfRule type="containsBlanks" dxfId="1938" priority="153">
      <formula>LEN(TRIM(C143))=0</formula>
    </cfRule>
  </conditionalFormatting>
  <conditionalFormatting sqref="C139 C141">
    <cfRule type="containsBlanks" dxfId="1937" priority="151">
      <formula>LEN(TRIM(C139))=0</formula>
    </cfRule>
  </conditionalFormatting>
  <conditionalFormatting sqref="E160 E162">
    <cfRule type="containsBlanks" dxfId="1936" priority="149">
      <formula>LEN(TRIM(E160))=0</formula>
    </cfRule>
  </conditionalFormatting>
  <conditionalFormatting sqref="E164 E166">
    <cfRule type="containsBlanks" dxfId="1935" priority="147">
      <formula>LEN(TRIM(E164))=0</formula>
    </cfRule>
  </conditionalFormatting>
  <conditionalFormatting sqref="G154 G156">
    <cfRule type="containsBlanks" dxfId="1934" priority="145">
      <formula>LEN(TRIM(G154))=0</formula>
    </cfRule>
  </conditionalFormatting>
  <conditionalFormatting sqref="A101:A115">
    <cfRule type="cellIs" dxfId="1933" priority="189" operator="equal">
      <formula>"-"</formula>
    </cfRule>
    <cfRule type="duplicateValues" dxfId="1932" priority="190"/>
  </conditionalFormatting>
  <conditionalFormatting sqref="G123 G127">
    <cfRule type="aboveAverage" dxfId="1931" priority="188"/>
  </conditionalFormatting>
  <conditionalFormatting sqref="G130 G132">
    <cfRule type="aboveAverage" dxfId="1930" priority="187"/>
  </conditionalFormatting>
  <conditionalFormatting sqref="G123 G127 G130 G132">
    <cfRule type="containsBlanks" dxfId="1929" priority="186">
      <formula>LEN(TRIM(G123))=0</formula>
    </cfRule>
  </conditionalFormatting>
  <conditionalFormatting sqref="C105 C107">
    <cfRule type="aboveAverage" dxfId="1928" priority="185"/>
  </conditionalFormatting>
  <conditionalFormatting sqref="C109 C111">
    <cfRule type="aboveAverage" dxfId="1927" priority="184"/>
  </conditionalFormatting>
  <conditionalFormatting sqref="C113 C115">
    <cfRule type="aboveAverage" dxfId="1926" priority="183"/>
  </conditionalFormatting>
  <conditionalFormatting sqref="C105 C107 C109 C111 C113 C115">
    <cfRule type="containsBlanks" dxfId="1925" priority="182">
      <formula>LEN(TRIM(C105))=0</formula>
    </cfRule>
  </conditionalFormatting>
  <conditionalFormatting sqref="C101 C103">
    <cfRule type="aboveAverage" dxfId="1924" priority="181"/>
  </conditionalFormatting>
  <conditionalFormatting sqref="C101 C103">
    <cfRule type="containsBlanks" dxfId="1923" priority="180">
      <formula>LEN(TRIM(C101))=0</formula>
    </cfRule>
  </conditionalFormatting>
  <conditionalFormatting sqref="E122 E124">
    <cfRule type="aboveAverage" dxfId="1922" priority="179"/>
  </conditionalFormatting>
  <conditionalFormatting sqref="E122 E124">
    <cfRule type="containsBlanks" dxfId="1921" priority="178">
      <formula>LEN(TRIM(E122))=0</formula>
    </cfRule>
  </conditionalFormatting>
  <conditionalFormatting sqref="E126 E128">
    <cfRule type="aboveAverage" dxfId="1920" priority="177"/>
  </conditionalFormatting>
  <conditionalFormatting sqref="E126 E128">
    <cfRule type="containsBlanks" dxfId="1919" priority="176">
      <formula>LEN(TRIM(E126))=0</formula>
    </cfRule>
  </conditionalFormatting>
  <conditionalFormatting sqref="G116 G118">
    <cfRule type="aboveAverage" dxfId="1918" priority="175"/>
  </conditionalFormatting>
  <conditionalFormatting sqref="G116 G118">
    <cfRule type="containsBlanks" dxfId="1917" priority="174">
      <formula>LEN(TRIM(G116))=0</formula>
    </cfRule>
  </conditionalFormatting>
  <conditionalFormatting sqref="A139:A153">
    <cfRule type="cellIs" dxfId="1916" priority="160" operator="equal">
      <formula>"-"</formula>
    </cfRule>
    <cfRule type="duplicateValues" dxfId="1915" priority="161"/>
  </conditionalFormatting>
  <conditionalFormatting sqref="G161 G165">
    <cfRule type="aboveAverage" dxfId="1914" priority="159"/>
  </conditionalFormatting>
  <conditionalFormatting sqref="G168 G170">
    <cfRule type="aboveAverage" dxfId="1913" priority="158"/>
  </conditionalFormatting>
  <conditionalFormatting sqref="C143 C145">
    <cfRule type="aboveAverage" dxfId="1912" priority="156"/>
  </conditionalFormatting>
  <conditionalFormatting sqref="C147 C149">
    <cfRule type="aboveAverage" dxfId="1911" priority="155"/>
  </conditionalFormatting>
  <conditionalFormatting sqref="C151 C153">
    <cfRule type="aboveAverage" dxfId="1910" priority="154"/>
  </conditionalFormatting>
  <conditionalFormatting sqref="C139 C141">
    <cfRule type="aboveAverage" dxfId="1909" priority="152"/>
  </conditionalFormatting>
  <conditionalFormatting sqref="E160 E162">
    <cfRule type="aboveAverage" dxfId="1908" priority="150"/>
  </conditionalFormatting>
  <conditionalFormatting sqref="E164 E166">
    <cfRule type="aboveAverage" dxfId="1907" priority="148"/>
  </conditionalFormatting>
  <conditionalFormatting sqref="G154 G156">
    <cfRule type="aboveAverage" dxfId="1906" priority="146"/>
  </conditionalFormatting>
  <conditionalFormatting sqref="C105 C107">
    <cfRule type="aboveAverage" dxfId="1905" priority="112"/>
  </conditionalFormatting>
  <conditionalFormatting sqref="C105 C107">
    <cfRule type="containsBlanks" dxfId="1904" priority="111">
      <formula>LEN(TRIM(C105))=0</formula>
    </cfRule>
  </conditionalFormatting>
  <conditionalFormatting sqref="C109 C111">
    <cfRule type="aboveAverage" dxfId="1903" priority="110"/>
  </conditionalFormatting>
  <conditionalFormatting sqref="C109 C111">
    <cfRule type="containsBlanks" dxfId="1902" priority="109">
      <formula>LEN(TRIM(C109))=0</formula>
    </cfRule>
  </conditionalFormatting>
  <conditionalFormatting sqref="C113 C115">
    <cfRule type="aboveAverage" dxfId="1901" priority="108"/>
  </conditionalFormatting>
  <conditionalFormatting sqref="C113 C115">
    <cfRule type="containsBlanks" dxfId="1900" priority="107">
      <formula>LEN(TRIM(C113))=0</formula>
    </cfRule>
  </conditionalFormatting>
  <conditionalFormatting sqref="C143">
    <cfRule type="containsBlanks" dxfId="1899" priority="75">
      <formula>LEN(TRIM(C143))=0</formula>
    </cfRule>
  </conditionalFormatting>
  <conditionalFormatting sqref="C143">
    <cfRule type="aboveAverage" dxfId="1898" priority="76"/>
  </conditionalFormatting>
  <conditionalFormatting sqref="C151">
    <cfRule type="aboveAverage" dxfId="1897" priority="74"/>
  </conditionalFormatting>
  <conditionalFormatting sqref="C151">
    <cfRule type="containsBlanks" dxfId="1896" priority="72">
      <formula>LEN(TRIM(C151))=0</formula>
    </cfRule>
  </conditionalFormatting>
  <conditionalFormatting sqref="C151">
    <cfRule type="aboveAverage" dxfId="1895" priority="73"/>
  </conditionalFormatting>
  <conditionalFormatting sqref="C153">
    <cfRule type="aboveAverage" dxfId="1894" priority="71"/>
  </conditionalFormatting>
  <conditionalFormatting sqref="I10:I11">
    <cfRule type="expression" dxfId="1893" priority="68">
      <formula>FIND(2,I10,1)</formula>
    </cfRule>
    <cfRule type="expression" dxfId="1892" priority="69">
      <formula>FIND(1,I10,1)</formula>
    </cfRule>
  </conditionalFormatting>
  <conditionalFormatting sqref="I7:I9">
    <cfRule type="expression" dxfId="1891" priority="66">
      <formula>FIND(2,I7,1)</formula>
    </cfRule>
    <cfRule type="expression" dxfId="1890" priority="67">
      <formula>FIND(1,I7,1)</formula>
    </cfRule>
  </conditionalFormatting>
  <conditionalFormatting sqref="I14:I18">
    <cfRule type="expression" dxfId="1889" priority="64">
      <formula>FIND(2,I14,1)</formula>
    </cfRule>
    <cfRule type="expression" dxfId="1888" priority="65">
      <formula>FIND(1,I14,1)</formula>
    </cfRule>
  </conditionalFormatting>
  <conditionalFormatting sqref="I25">
    <cfRule type="expression" dxfId="1887" priority="62">
      <formula>FIND(2,I25,1)</formula>
    </cfRule>
    <cfRule type="expression" dxfId="1886" priority="63">
      <formula>FIND(1,I25,1)</formula>
    </cfRule>
  </conditionalFormatting>
  <conditionalFormatting sqref="I38:I39">
    <cfRule type="expression" dxfId="1885" priority="58">
      <formula>FIND(2,I38,1)</formula>
    </cfRule>
    <cfRule type="expression" dxfId="1884" priority="59">
      <formula>FIND(1,I38,1)</formula>
    </cfRule>
  </conditionalFormatting>
  <conditionalFormatting sqref="I35:I37">
    <cfRule type="expression" dxfId="1883" priority="56">
      <formula>FIND(2,I35,1)</formula>
    </cfRule>
    <cfRule type="expression" dxfId="1882" priority="57">
      <formula>FIND(1,I35,1)</formula>
    </cfRule>
  </conditionalFormatting>
  <conditionalFormatting sqref="I42:I46">
    <cfRule type="expression" dxfId="1881" priority="54">
      <formula>FIND(2,I42,1)</formula>
    </cfRule>
    <cfRule type="expression" dxfId="1880" priority="55">
      <formula>FIND(1,I42,1)</formula>
    </cfRule>
  </conditionalFormatting>
  <conditionalFormatting sqref="I49:I53">
    <cfRule type="expression" dxfId="1879" priority="52">
      <formula>FIND(2,I49,1)</formula>
    </cfRule>
    <cfRule type="expression" dxfId="1878" priority="53">
      <formula>FIND(1,I49,1)</formula>
    </cfRule>
  </conditionalFormatting>
  <conditionalFormatting sqref="I56:I60">
    <cfRule type="expression" dxfId="1877" priority="50">
      <formula>FIND(2,I56,1)</formula>
    </cfRule>
    <cfRule type="expression" dxfId="1876" priority="51">
      <formula>FIND(1,I56,1)</formula>
    </cfRule>
  </conditionalFormatting>
  <conditionalFormatting sqref="I21:I24">
    <cfRule type="expression" dxfId="1875" priority="48">
      <formula>FIND(2,I21,1)</formula>
    </cfRule>
    <cfRule type="expression" dxfId="1874" priority="49">
      <formula>FIND(1,I21,1)</formula>
    </cfRule>
  </conditionalFormatting>
  <conditionalFormatting sqref="I28:I32">
    <cfRule type="expression" dxfId="1873" priority="44">
      <formula>FIND(2,I28,1)</formula>
    </cfRule>
    <cfRule type="expression" dxfId="1872" priority="45">
      <formula>FIND(1,I28,1)</formula>
    </cfRule>
  </conditionalFormatting>
  <conditionalFormatting sqref="A300:A316">
    <cfRule type="duplicateValues" dxfId="1871" priority="43"/>
  </conditionalFormatting>
  <conditionalFormatting sqref="E102 E106">
    <cfRule type="containsBlanks" dxfId="1870" priority="41">
      <formula>LEN(TRIM(E102))=0</formula>
    </cfRule>
    <cfRule type="aboveAverage" dxfId="1869" priority="42"/>
  </conditionalFormatting>
  <conditionalFormatting sqref="E110 E114">
    <cfRule type="containsBlanks" dxfId="1868" priority="39">
      <formula>LEN(TRIM(E110))=0</formula>
    </cfRule>
    <cfRule type="aboveAverage" dxfId="1867" priority="40"/>
  </conditionalFormatting>
  <conditionalFormatting sqref="G104 G112">
    <cfRule type="containsBlanks" dxfId="1866" priority="37">
      <formula>LEN(TRIM(G104))=0</formula>
    </cfRule>
    <cfRule type="aboveAverage" dxfId="1865" priority="38"/>
  </conditionalFormatting>
  <conditionalFormatting sqref="E140 E144">
    <cfRule type="containsBlanks" dxfId="1864" priority="35">
      <formula>LEN(TRIM(E140))=0</formula>
    </cfRule>
    <cfRule type="aboveAverage" dxfId="1863" priority="36"/>
  </conditionalFormatting>
  <conditionalFormatting sqref="E148 E152">
    <cfRule type="containsBlanks" dxfId="1862" priority="33">
      <formula>LEN(TRIM(E148))=0</formula>
    </cfRule>
    <cfRule type="aboveAverage" dxfId="1861" priority="34"/>
  </conditionalFormatting>
  <conditionalFormatting sqref="G142 G150">
    <cfRule type="containsBlanks" dxfId="1860" priority="31">
      <formula>LEN(TRIM(G142))=0</formula>
    </cfRule>
    <cfRule type="aboveAverage" dxfId="1859" priority="32"/>
  </conditionalFormatting>
  <conditionalFormatting sqref="L15:L18">
    <cfRule type="expression" dxfId="1858" priority="25">
      <formula>OR(J15=0,J15=4)</formula>
    </cfRule>
    <cfRule type="expression" dxfId="1857" priority="29">
      <formula>AND(J15=1,IF(COUNTIF(J$14:J$18,"=1")=1,TRUE))</formula>
    </cfRule>
    <cfRule type="expression" dxfId="1856" priority="30">
      <formula>AND(J15=3,IF(COUNTIF(J$14:J$18,"=3")=1,TRUE))</formula>
    </cfRule>
  </conditionalFormatting>
  <conditionalFormatting sqref="L21:L25">
    <cfRule type="expression" dxfId="1855" priority="26">
      <formula>OR(J21=0,J21=4)</formula>
    </cfRule>
    <cfRule type="expression" dxfId="1854" priority="27">
      <formula>AND(J21=1,IF(COUNTIF(J$21:J$25,"=1")=1,TRUE))</formula>
    </cfRule>
    <cfRule type="expression" dxfId="1853" priority="28">
      <formula>AND(J21=3,IF(COUNTIF(J$21:J$25,"=3")=1,TRUE))</formula>
    </cfRule>
  </conditionalFormatting>
  <conditionalFormatting sqref="L7:L11">
    <cfRule type="expression" dxfId="1852" priority="22">
      <formula>OR(J7=0,J7=4)</formula>
    </cfRule>
    <cfRule type="expression" dxfId="1851" priority="23">
      <formula>AND(J7=1,IF(COUNTIF(J$7:J$11,"=1")=1,TRUE))</formula>
    </cfRule>
    <cfRule type="expression" dxfId="1850" priority="24">
      <formula>AND(J7=3,IF(COUNTIF(J$7:J$11,"=3")=1,TRUE))</formula>
    </cfRule>
  </conditionalFormatting>
  <conditionalFormatting sqref="L28:L32">
    <cfRule type="expression" dxfId="1849" priority="19">
      <formula>OR(J28=0,J28=4)</formula>
    </cfRule>
    <cfRule type="expression" dxfId="1848" priority="20">
      <formula>AND(J28=1,IF(COUNTIF(J$28:J$32,"=1")=1,TRUE))</formula>
    </cfRule>
    <cfRule type="expression" dxfId="1847" priority="21">
      <formula>AND(J28=3,IF(COUNTIF(J$28:J$32,"=3")=1,TRUE))</formula>
    </cfRule>
  </conditionalFormatting>
  <conditionalFormatting sqref="L43:L46">
    <cfRule type="expression" dxfId="1846" priority="13">
      <formula>OR(J43=0,J43=4)</formula>
    </cfRule>
    <cfRule type="expression" dxfId="1845" priority="17">
      <formula>AND(J43=1,IF(COUNTIF(J$14:J$18,"=1")=1,TRUE))</formula>
    </cfRule>
    <cfRule type="expression" dxfId="1844" priority="18">
      <formula>AND(J43=3,IF(COUNTIF(J$14:J$18,"=3")=1,TRUE))</formula>
    </cfRule>
  </conditionalFormatting>
  <conditionalFormatting sqref="L49:L53">
    <cfRule type="expression" dxfId="1843" priority="14">
      <formula>OR(J49=0,J49=4)</formula>
    </cfRule>
    <cfRule type="expression" dxfId="1842" priority="15">
      <formula>AND(J49=1,IF(COUNTIF(J$21:J$25,"=1")=1,TRUE))</formula>
    </cfRule>
    <cfRule type="expression" dxfId="1841" priority="16">
      <formula>AND(J49=3,IF(COUNTIF(J$21:J$25,"=3")=1,TRUE))</formula>
    </cfRule>
  </conditionalFormatting>
  <conditionalFormatting sqref="L35:L39">
    <cfRule type="expression" dxfId="1840" priority="10">
      <formula>OR(J35=0,J35=4)</formula>
    </cfRule>
    <cfRule type="expression" dxfId="1839" priority="11">
      <formula>AND(J35=1,IF(COUNTIF(J$7:J$11,"=1")=1,TRUE))</formula>
    </cfRule>
    <cfRule type="expression" dxfId="1838" priority="12">
      <formula>AND(J35=3,IF(COUNTIF(J$7:J$11,"=3")=1,TRUE))</formula>
    </cfRule>
  </conditionalFormatting>
  <conditionalFormatting sqref="L56:L60">
    <cfRule type="expression" dxfId="1837" priority="7">
      <formula>OR(J56=0,J56=4)</formula>
    </cfRule>
    <cfRule type="expression" dxfId="1836" priority="8">
      <formula>AND(J56=1,IF(COUNTIF(J$28:J$32,"=1")=1,TRUE))</formula>
    </cfRule>
    <cfRule type="expression" dxfId="1835" priority="9">
      <formula>AND(J56=3,IF(COUNTIF(J$28:J$32,"=3")=1,TRUE))</formula>
    </cfRule>
  </conditionalFormatting>
  <conditionalFormatting sqref="L14">
    <cfRule type="expression" dxfId="1834" priority="4">
      <formula>OR(J14=0,J14=4)</formula>
    </cfRule>
    <cfRule type="expression" dxfId="1833" priority="5">
      <formula>AND(J14=1,IF(COUNTIF(J$7:J$11,"=1")=1,TRUE))</formula>
    </cfRule>
    <cfRule type="expression" dxfId="1832" priority="6">
      <formula>AND(J14=3,IF(COUNTIF(J$7:J$11,"=3")=1,TRUE))</formula>
    </cfRule>
  </conditionalFormatting>
  <conditionalFormatting sqref="L42">
    <cfRule type="expression" dxfId="1831" priority="1">
      <formula>OR(J42=0,J42=4)</formula>
    </cfRule>
    <cfRule type="expression" dxfId="1830" priority="2">
      <formula>AND(J42=1,IF(COUNTIF(J$7:J$11,"=1")=1,TRUE))</formula>
    </cfRule>
    <cfRule type="expression" dxfId="1829" priority="3">
      <formula>AND(J42=3,IF(COUNTIF(J$7:J$11,"=3")=1,TRUE))</formula>
    </cfRule>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rowBreaks count="2" manualBreakCount="2">
    <brk id="97" max="16383" man="1"/>
    <brk id="173"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N307"/>
  <sheetViews>
    <sheetView showGridLines="0" showRowColHeaders="0" zoomScaleNormal="100" workbookViewId="0">
      <pane ySplit="2" topLeftCell="A3" activePane="bottomLeft" state="frozen"/>
      <selection activeCell="K1" sqref="K1"/>
      <selection pane="bottomLeft" activeCell="J1" sqref="J1"/>
    </sheetView>
  </sheetViews>
  <sheetFormatPr defaultRowHeight="12.75" x14ac:dyDescent="0.2"/>
  <cols>
    <col min="1" max="1" width="5.5703125" style="277" customWidth="1"/>
    <col min="2" max="2" width="28.85546875" style="277" bestFit="1" customWidth="1"/>
    <col min="3" max="3" width="5.5703125" style="277" customWidth="1"/>
    <col min="4" max="4" width="6.42578125" style="277" customWidth="1"/>
    <col min="5" max="5" width="5.5703125" style="277" customWidth="1"/>
    <col min="6" max="6" width="6.42578125" style="277" customWidth="1"/>
    <col min="7" max="7" width="5.5703125" style="277" customWidth="1"/>
    <col min="8" max="8" width="6.42578125" style="277" customWidth="1"/>
    <col min="9" max="9" width="5.5703125" style="277" customWidth="1"/>
    <col min="10" max="10" width="6.42578125" style="277" customWidth="1"/>
    <col min="11" max="11" width="2.28515625" style="277" bestFit="1" customWidth="1"/>
    <col min="12" max="12" width="5.5703125" style="277" bestFit="1" customWidth="1"/>
    <col min="13" max="14" width="5.7109375" style="277" bestFit="1" customWidth="1"/>
    <col min="15" max="16384" width="9.140625" style="277"/>
  </cols>
  <sheetData>
    <row r="1" spans="1:14" x14ac:dyDescent="0.2">
      <c r="A1" s="31" t="str">
        <f>UPPER((Kalend!E34)&amp;" - "&amp;(Kalend!C34)&amp;" - "&amp;(Kalend!D34))</f>
        <v>9 - IDA-VIRUMAA MV - DUO</v>
      </c>
      <c r="F1" s="495" t="str">
        <f>HYPERLINK("#'Kalend'!I1","Kalender")</f>
        <v>Kalender</v>
      </c>
      <c r="H1" s="495" t="str">
        <f>HYPERLINK("#'Reit'!T1","Reiting")</f>
        <v>Reiting</v>
      </c>
    </row>
    <row r="2" spans="1:14" x14ac:dyDescent="0.2">
      <c r="A2" s="2" t="str">
        <f>"Toimumisaeg: "&amp;(Kalend!A34)&amp;" kell "&amp;(Kalend!B34)</f>
        <v>Toimumisaeg: N, 02.08.2018 kell 18:00</v>
      </c>
    </row>
    <row r="3" spans="1:14" x14ac:dyDescent="0.2">
      <c r="A3" s="2" t="str">
        <f>"Toimumiskoht: "&amp;(Kalend!F34)</f>
        <v>Toimumiskoht: K-Järve spordihoone</v>
      </c>
    </row>
    <row r="4" spans="1:14" x14ac:dyDescent="0.2">
      <c r="A4" s="2" t="str">
        <f>"Korraldaja: "&amp;(Kalend!G34)</f>
        <v>Korraldaja: K-Järve SHK, Ivar Viljaste</v>
      </c>
    </row>
    <row r="5" spans="1:14" x14ac:dyDescent="0.2">
      <c r="A5" s="498"/>
      <c r="B5" s="498"/>
      <c r="C5" s="498"/>
      <c r="D5" s="498"/>
      <c r="E5" s="498"/>
      <c r="F5" s="498"/>
      <c r="G5" s="498"/>
      <c r="H5" s="498"/>
      <c r="I5" s="498"/>
      <c r="J5" s="498"/>
      <c r="K5" s="498"/>
      <c r="L5" s="498"/>
      <c r="M5" s="498"/>
      <c r="N5" s="498"/>
    </row>
    <row r="6" spans="1:14" s="506" customFormat="1" x14ac:dyDescent="0.2">
      <c r="A6" s="899" t="s">
        <v>635</v>
      </c>
    </row>
    <row r="7" spans="1:14" s="506" customFormat="1" x14ac:dyDescent="0.2"/>
    <row r="8" spans="1:14" s="506" customFormat="1" x14ac:dyDescent="0.2">
      <c r="A8" s="881"/>
      <c r="B8" s="881" t="s">
        <v>14</v>
      </c>
      <c r="C8" s="1406" t="s">
        <v>16</v>
      </c>
      <c r="D8" s="1407"/>
      <c r="E8" s="1406" t="s">
        <v>17</v>
      </c>
      <c r="F8" s="1407"/>
      <c r="G8" s="1406" t="s">
        <v>18</v>
      </c>
      <c r="H8" s="1407"/>
      <c r="I8" s="1406" t="s">
        <v>19</v>
      </c>
      <c r="J8" s="1407"/>
      <c r="K8" s="884" t="s">
        <v>152</v>
      </c>
      <c r="L8" s="885" t="s">
        <v>727</v>
      </c>
      <c r="M8" s="884" t="s">
        <v>634</v>
      </c>
    </row>
    <row r="9" spans="1:14" s="506" customFormat="1" x14ac:dyDescent="0.2">
      <c r="A9" s="882">
        <v>1</v>
      </c>
      <c r="B9" s="883" t="s">
        <v>484</v>
      </c>
      <c r="C9" s="891" t="s">
        <v>52</v>
      </c>
      <c r="D9" s="895" t="s">
        <v>633</v>
      </c>
      <c r="E9" s="891" t="s">
        <v>46</v>
      </c>
      <c r="F9" s="897" t="s">
        <v>481</v>
      </c>
      <c r="G9" s="890" t="s">
        <v>52</v>
      </c>
      <c r="H9" s="895" t="s">
        <v>37</v>
      </c>
      <c r="I9" s="891" t="s">
        <v>51</v>
      </c>
      <c r="J9" s="897" t="s">
        <v>440</v>
      </c>
      <c r="K9" s="886">
        <v>8</v>
      </c>
      <c r="L9" s="886">
        <v>16</v>
      </c>
      <c r="M9" s="892" t="s">
        <v>616</v>
      </c>
    </row>
    <row r="10" spans="1:14" s="506" customFormat="1" x14ac:dyDescent="0.2">
      <c r="A10" s="882">
        <v>2</v>
      </c>
      <c r="B10" s="883" t="s">
        <v>37</v>
      </c>
      <c r="C10" s="891" t="s">
        <v>47</v>
      </c>
      <c r="D10" s="895" t="s">
        <v>35</v>
      </c>
      <c r="E10" s="891" t="s">
        <v>42</v>
      </c>
      <c r="F10" s="897" t="s">
        <v>440</v>
      </c>
      <c r="G10" s="893" t="s">
        <v>41</v>
      </c>
      <c r="H10" s="896" t="s">
        <v>484</v>
      </c>
      <c r="I10" s="891" t="s">
        <v>617</v>
      </c>
      <c r="J10" s="897" t="s">
        <v>481</v>
      </c>
      <c r="K10" s="888">
        <v>6</v>
      </c>
      <c r="L10" s="888">
        <v>16</v>
      </c>
      <c r="M10" s="892" t="s">
        <v>618</v>
      </c>
    </row>
    <row r="11" spans="1:14" s="506" customFormat="1" x14ac:dyDescent="0.2">
      <c r="A11" s="882">
        <v>3</v>
      </c>
      <c r="B11" s="883" t="s">
        <v>632</v>
      </c>
      <c r="C11" s="894" t="s">
        <v>43</v>
      </c>
      <c r="D11" s="896" t="s">
        <v>440</v>
      </c>
      <c r="E11" s="891" t="s">
        <v>619</v>
      </c>
      <c r="F11" s="897" t="s">
        <v>35</v>
      </c>
      <c r="G11" s="890" t="s">
        <v>620</v>
      </c>
      <c r="H11" s="895" t="s">
        <v>633</v>
      </c>
      <c r="I11" s="891" t="s">
        <v>46</v>
      </c>
      <c r="J11" s="897" t="s">
        <v>33</v>
      </c>
      <c r="K11" s="888">
        <v>6</v>
      </c>
      <c r="L11" s="888">
        <v>10</v>
      </c>
      <c r="M11" s="892" t="s">
        <v>621</v>
      </c>
    </row>
    <row r="12" spans="1:14" s="506" customFormat="1" x14ac:dyDescent="0.2">
      <c r="A12" s="882">
        <v>4</v>
      </c>
      <c r="B12" s="883" t="s">
        <v>440</v>
      </c>
      <c r="C12" s="891" t="s">
        <v>53</v>
      </c>
      <c r="D12" s="895" t="s">
        <v>632</v>
      </c>
      <c r="E12" s="894" t="s">
        <v>622</v>
      </c>
      <c r="F12" s="898" t="s">
        <v>37</v>
      </c>
      <c r="G12" s="890" t="s">
        <v>42</v>
      </c>
      <c r="H12" s="895" t="s">
        <v>481</v>
      </c>
      <c r="I12" s="894" t="s">
        <v>623</v>
      </c>
      <c r="J12" s="898" t="s">
        <v>484</v>
      </c>
      <c r="K12" s="886">
        <v>4</v>
      </c>
      <c r="L12" s="886">
        <v>22</v>
      </c>
      <c r="M12" s="892" t="s">
        <v>624</v>
      </c>
    </row>
    <row r="13" spans="1:14" s="498" customFormat="1" x14ac:dyDescent="0.2">
      <c r="A13" s="882">
        <v>5</v>
      </c>
      <c r="B13" s="883" t="s">
        <v>633</v>
      </c>
      <c r="C13" s="894" t="s">
        <v>41</v>
      </c>
      <c r="D13" s="896" t="s">
        <v>484</v>
      </c>
      <c r="E13" s="891" t="s">
        <v>47</v>
      </c>
      <c r="F13" s="897" t="s">
        <v>33</v>
      </c>
      <c r="G13" s="893" t="s">
        <v>625</v>
      </c>
      <c r="H13" s="896" t="s">
        <v>632</v>
      </c>
      <c r="I13" s="891" t="s">
        <v>44</v>
      </c>
      <c r="J13" s="897" t="s">
        <v>35</v>
      </c>
      <c r="K13" s="886">
        <v>4</v>
      </c>
      <c r="L13" s="886">
        <v>16</v>
      </c>
      <c r="M13" s="892" t="s">
        <v>626</v>
      </c>
    </row>
    <row r="14" spans="1:14" s="498" customFormat="1" x14ac:dyDescent="0.2">
      <c r="A14" s="882">
        <v>6</v>
      </c>
      <c r="B14" s="883" t="s">
        <v>481</v>
      </c>
      <c r="C14" s="891" t="s">
        <v>44</v>
      </c>
      <c r="D14" s="895" t="s">
        <v>33</v>
      </c>
      <c r="E14" s="894" t="s">
        <v>50</v>
      </c>
      <c r="F14" s="898" t="s">
        <v>484</v>
      </c>
      <c r="G14" s="893" t="s">
        <v>622</v>
      </c>
      <c r="H14" s="896" t="s">
        <v>440</v>
      </c>
      <c r="I14" s="894" t="s">
        <v>627</v>
      </c>
      <c r="J14" s="898" t="s">
        <v>37</v>
      </c>
      <c r="K14" s="888">
        <v>2</v>
      </c>
      <c r="L14" s="888">
        <v>18</v>
      </c>
      <c r="M14" s="892" t="s">
        <v>628</v>
      </c>
    </row>
    <row r="15" spans="1:14" s="498" customFormat="1" x14ac:dyDescent="0.2">
      <c r="A15" s="882">
        <v>7</v>
      </c>
      <c r="B15" s="883" t="s">
        <v>35</v>
      </c>
      <c r="C15" s="894" t="s">
        <v>49</v>
      </c>
      <c r="D15" s="896" t="s">
        <v>37</v>
      </c>
      <c r="E15" s="894" t="s">
        <v>629</v>
      </c>
      <c r="F15" s="898" t="s">
        <v>632</v>
      </c>
      <c r="G15" s="890" t="s">
        <v>48</v>
      </c>
      <c r="H15" s="895" t="s">
        <v>33</v>
      </c>
      <c r="I15" s="894" t="s">
        <v>40</v>
      </c>
      <c r="J15" s="898" t="s">
        <v>633</v>
      </c>
      <c r="K15" s="888">
        <v>2</v>
      </c>
      <c r="L15" s="888">
        <v>16</v>
      </c>
      <c r="M15" s="892" t="s">
        <v>630</v>
      </c>
    </row>
    <row r="16" spans="1:14" s="498" customFormat="1" x14ac:dyDescent="0.2">
      <c r="A16" s="882">
        <v>8</v>
      </c>
      <c r="B16" s="880" t="s">
        <v>33</v>
      </c>
      <c r="C16" s="894" t="s">
        <v>40</v>
      </c>
      <c r="D16" s="896" t="s">
        <v>481</v>
      </c>
      <c r="E16" s="894" t="s">
        <v>49</v>
      </c>
      <c r="F16" s="898" t="s">
        <v>633</v>
      </c>
      <c r="G16" s="893" t="s">
        <v>45</v>
      </c>
      <c r="H16" s="896" t="s">
        <v>35</v>
      </c>
      <c r="I16" s="894" t="s">
        <v>50</v>
      </c>
      <c r="J16" s="898" t="s">
        <v>632</v>
      </c>
      <c r="K16" s="886">
        <v>0</v>
      </c>
      <c r="L16" s="886">
        <v>14</v>
      </c>
      <c r="M16" s="892" t="s">
        <v>631</v>
      </c>
    </row>
    <row r="17" spans="1:14" s="498" customFormat="1" hidden="1" x14ac:dyDescent="0.2"/>
    <row r="18" spans="1:14" s="498" customFormat="1" hidden="1" x14ac:dyDescent="0.2"/>
    <row r="19" spans="1:14" s="506" customFormat="1" hidden="1" x14ac:dyDescent="0.2">
      <c r="A19" s="498"/>
      <c r="B19" s="498"/>
      <c r="C19" s="498"/>
      <c r="D19" s="498"/>
      <c r="E19" s="498"/>
      <c r="F19" s="498"/>
      <c r="G19" s="498"/>
      <c r="H19" s="498"/>
      <c r="I19" s="498"/>
      <c r="J19" s="498"/>
      <c r="K19" s="498"/>
      <c r="L19" s="498"/>
      <c r="M19" s="498"/>
      <c r="N19" s="498"/>
    </row>
    <row r="20" spans="1:14" s="498" customFormat="1" hidden="1" x14ac:dyDescent="0.2"/>
    <row r="21" spans="1:14" s="498" customFormat="1" hidden="1" x14ac:dyDescent="0.2"/>
    <row r="22" spans="1:14" s="498" customFormat="1" hidden="1" x14ac:dyDescent="0.2"/>
    <row r="23" spans="1:14" s="498" customFormat="1" hidden="1" x14ac:dyDescent="0.2"/>
    <row r="24" spans="1:14" s="498" customFormat="1" hidden="1" x14ac:dyDescent="0.2"/>
    <row r="25" spans="1:14" s="498" customFormat="1" hidden="1" x14ac:dyDescent="0.2"/>
    <row r="26" spans="1:14" s="498" customFormat="1" hidden="1" x14ac:dyDescent="0.2"/>
    <row r="27" spans="1:14" s="506" customFormat="1" hidden="1" x14ac:dyDescent="0.2">
      <c r="A27" s="498"/>
      <c r="B27" s="498"/>
      <c r="C27" s="498"/>
      <c r="D27" s="498"/>
      <c r="E27" s="498"/>
      <c r="F27" s="498"/>
      <c r="G27" s="498"/>
      <c r="H27" s="498"/>
      <c r="I27" s="498"/>
      <c r="J27" s="498"/>
      <c r="K27" s="498"/>
      <c r="L27" s="498"/>
      <c r="M27" s="498"/>
      <c r="N27" s="498"/>
    </row>
    <row r="28" spans="1:14" s="506" customFormat="1" hidden="1" x14ac:dyDescent="0.2">
      <c r="A28" s="498"/>
      <c r="B28" s="498"/>
      <c r="C28" s="498"/>
      <c r="D28" s="498"/>
      <c r="E28" s="498"/>
      <c r="F28" s="498"/>
      <c r="G28" s="498"/>
      <c r="H28" s="498"/>
      <c r="I28" s="498"/>
      <c r="J28" s="498"/>
      <c r="K28" s="498"/>
      <c r="L28" s="498"/>
      <c r="M28" s="498"/>
      <c r="N28" s="498"/>
    </row>
    <row r="29" spans="1:14" s="506" customFormat="1" hidden="1" x14ac:dyDescent="0.2">
      <c r="A29" s="498"/>
      <c r="B29" s="498"/>
      <c r="C29" s="498"/>
      <c r="D29" s="498"/>
      <c r="E29" s="498"/>
      <c r="F29" s="498"/>
      <c r="G29" s="498"/>
      <c r="H29" s="498"/>
      <c r="I29" s="498"/>
      <c r="J29" s="498"/>
      <c r="K29" s="498"/>
      <c r="L29" s="498"/>
      <c r="M29" s="498"/>
      <c r="N29" s="498"/>
    </row>
    <row r="30" spans="1:14" s="506" customFormat="1" hidden="1" x14ac:dyDescent="0.2">
      <c r="A30" s="498"/>
      <c r="B30" s="498"/>
      <c r="C30" s="498"/>
      <c r="D30" s="498"/>
      <c r="E30" s="498"/>
      <c r="F30" s="498"/>
      <c r="G30" s="498"/>
      <c r="H30" s="498"/>
      <c r="I30" s="498"/>
      <c r="J30" s="498"/>
      <c r="K30" s="498"/>
      <c r="L30" s="498"/>
      <c r="M30" s="498"/>
      <c r="N30" s="498"/>
    </row>
    <row r="31" spans="1:14" s="506" customFormat="1" hidden="1" x14ac:dyDescent="0.2">
      <c r="A31" s="498"/>
      <c r="B31" s="498"/>
      <c r="C31" s="498"/>
      <c r="D31" s="498"/>
      <c r="E31" s="498"/>
      <c r="F31" s="498"/>
      <c r="G31" s="498"/>
      <c r="H31" s="498"/>
      <c r="I31" s="498"/>
      <c r="J31" s="498"/>
      <c r="K31" s="498"/>
      <c r="L31" s="498"/>
      <c r="M31" s="498"/>
      <c r="N31" s="498"/>
    </row>
    <row r="32" spans="1:14" s="506" customFormat="1" hidden="1" x14ac:dyDescent="0.2">
      <c r="A32" s="498"/>
      <c r="B32" s="498"/>
      <c r="C32" s="498"/>
      <c r="D32" s="498"/>
      <c r="E32" s="498"/>
      <c r="F32" s="498"/>
      <c r="G32" s="498"/>
      <c r="H32" s="498"/>
      <c r="I32" s="498"/>
      <c r="J32" s="498"/>
      <c r="K32" s="498"/>
      <c r="L32" s="498"/>
      <c r="M32" s="498"/>
      <c r="N32" s="498"/>
    </row>
    <row r="33" spans="1:14" s="506" customFormat="1" hidden="1" x14ac:dyDescent="0.2">
      <c r="A33" s="498"/>
      <c r="B33" s="498"/>
      <c r="C33" s="498"/>
      <c r="D33" s="498"/>
      <c r="E33" s="498"/>
      <c r="F33" s="498"/>
      <c r="G33" s="498"/>
      <c r="H33" s="498"/>
      <c r="I33" s="498"/>
      <c r="J33" s="498"/>
      <c r="K33" s="498"/>
      <c r="L33" s="498"/>
      <c r="M33" s="498"/>
      <c r="N33" s="498"/>
    </row>
    <row r="34" spans="1:14" s="506" customFormat="1" hidden="1" x14ac:dyDescent="0.2">
      <c r="A34" s="498"/>
      <c r="B34" s="498"/>
      <c r="C34" s="498"/>
      <c r="D34" s="498"/>
      <c r="E34" s="498"/>
      <c r="F34" s="498"/>
      <c r="G34" s="498"/>
      <c r="H34" s="498"/>
      <c r="I34" s="498"/>
      <c r="J34" s="498"/>
      <c r="K34" s="498"/>
      <c r="L34" s="498"/>
      <c r="M34" s="498"/>
      <c r="N34" s="498"/>
    </row>
    <row r="35" spans="1:14" s="506" customFormat="1" hidden="1" x14ac:dyDescent="0.2">
      <c r="A35" s="498"/>
      <c r="B35" s="498"/>
      <c r="C35" s="498"/>
      <c r="D35" s="498"/>
      <c r="E35" s="498"/>
      <c r="F35" s="498"/>
      <c r="G35" s="498"/>
      <c r="H35" s="498"/>
      <c r="I35" s="498"/>
      <c r="J35" s="498"/>
      <c r="K35" s="498"/>
      <c r="L35" s="498"/>
      <c r="M35" s="498"/>
      <c r="N35" s="498"/>
    </row>
    <row r="36" spans="1:14" s="506" customFormat="1" hidden="1" x14ac:dyDescent="0.2">
      <c r="A36" s="498"/>
      <c r="B36" s="498"/>
      <c r="C36" s="498"/>
      <c r="D36" s="498"/>
      <c r="E36" s="498"/>
      <c r="F36" s="498"/>
      <c r="G36" s="498"/>
      <c r="H36" s="498"/>
      <c r="I36" s="498"/>
      <c r="J36" s="498"/>
      <c r="K36" s="498"/>
      <c r="L36" s="498"/>
      <c r="M36" s="498"/>
      <c r="N36" s="498"/>
    </row>
    <row r="37" spans="1:14" s="506" customFormat="1" hidden="1" x14ac:dyDescent="0.2">
      <c r="A37" s="498"/>
      <c r="B37" s="498"/>
      <c r="C37" s="498"/>
      <c r="D37" s="498"/>
      <c r="E37" s="498"/>
      <c r="F37" s="498"/>
      <c r="G37" s="498"/>
      <c r="H37" s="498"/>
      <c r="I37" s="498"/>
      <c r="J37" s="498"/>
      <c r="K37" s="498"/>
      <c r="L37" s="498"/>
      <c r="M37" s="498"/>
      <c r="N37" s="498"/>
    </row>
    <row r="38" spans="1:14" s="506" customFormat="1" hidden="1" x14ac:dyDescent="0.2">
      <c r="A38" s="498"/>
      <c r="B38" s="498"/>
      <c r="C38" s="498"/>
      <c r="D38" s="498"/>
      <c r="E38" s="498"/>
      <c r="F38" s="498"/>
      <c r="G38" s="498"/>
      <c r="H38" s="498"/>
      <c r="I38" s="498"/>
      <c r="J38" s="498"/>
      <c r="K38" s="498"/>
      <c r="L38" s="498"/>
      <c r="M38" s="498"/>
      <c r="N38" s="498"/>
    </row>
    <row r="39" spans="1:14" s="506" customFormat="1" hidden="1" x14ac:dyDescent="0.2">
      <c r="A39" s="498"/>
      <c r="B39" s="498"/>
      <c r="C39" s="498"/>
      <c r="D39" s="498"/>
      <c r="E39" s="498"/>
      <c r="F39" s="498"/>
      <c r="G39" s="498"/>
      <c r="H39" s="498"/>
      <c r="I39" s="498"/>
      <c r="J39" s="498"/>
      <c r="K39" s="498"/>
      <c r="L39" s="498"/>
      <c r="M39" s="498"/>
      <c r="N39" s="498"/>
    </row>
    <row r="40" spans="1:14" s="506" customFormat="1" hidden="1" x14ac:dyDescent="0.2">
      <c r="A40" s="498"/>
      <c r="B40" s="498"/>
      <c r="C40" s="498"/>
      <c r="D40" s="498"/>
      <c r="E40" s="498"/>
      <c r="F40" s="498"/>
      <c r="G40" s="498"/>
      <c r="H40" s="498"/>
      <c r="I40" s="498"/>
      <c r="J40" s="498"/>
      <c r="K40" s="498"/>
      <c r="L40" s="498"/>
      <c r="M40" s="498"/>
      <c r="N40" s="498"/>
    </row>
    <row r="41" spans="1:14" s="498" customFormat="1" hidden="1" x14ac:dyDescent="0.2"/>
    <row r="42" spans="1:14" s="498" customFormat="1" hidden="1" x14ac:dyDescent="0.2"/>
    <row r="43" spans="1:14" s="498" customFormat="1" hidden="1" x14ac:dyDescent="0.2"/>
    <row r="44" spans="1:14" s="498" customFormat="1" hidden="1" x14ac:dyDescent="0.2"/>
    <row r="45" spans="1:14" s="498" customFormat="1" hidden="1" x14ac:dyDescent="0.2"/>
    <row r="46" spans="1:14" s="498" customFormat="1" hidden="1" x14ac:dyDescent="0.2"/>
    <row r="47" spans="1:14" s="506" customFormat="1" hidden="1" x14ac:dyDescent="0.2">
      <c r="A47" s="498"/>
      <c r="B47" s="498"/>
      <c r="C47" s="498"/>
      <c r="D47" s="498"/>
      <c r="E47" s="498"/>
      <c r="F47" s="498"/>
      <c r="G47" s="498"/>
      <c r="H47" s="498"/>
      <c r="I47" s="498"/>
      <c r="J47" s="498"/>
      <c r="K47" s="498"/>
      <c r="L47" s="498"/>
      <c r="M47" s="498"/>
      <c r="N47" s="498"/>
    </row>
    <row r="48" spans="1:14" s="498" customFormat="1" hidden="1" x14ac:dyDescent="0.2"/>
    <row r="49" spans="1:14" s="498" customFormat="1" hidden="1" x14ac:dyDescent="0.2"/>
    <row r="50" spans="1:14" s="498" customFormat="1" hidden="1" x14ac:dyDescent="0.2"/>
    <row r="51" spans="1:14" s="498" customFormat="1" hidden="1" x14ac:dyDescent="0.2"/>
    <row r="52" spans="1:14" s="498" customFormat="1" hidden="1" x14ac:dyDescent="0.2"/>
    <row r="53" spans="1:14" s="498" customFormat="1" hidden="1" x14ac:dyDescent="0.2"/>
    <row r="54" spans="1:14" s="498" customFormat="1" hidden="1" x14ac:dyDescent="0.2"/>
    <row r="55" spans="1:14" s="506" customFormat="1" hidden="1" x14ac:dyDescent="0.2">
      <c r="A55" s="498"/>
      <c r="B55" s="498"/>
      <c r="C55" s="498"/>
      <c r="D55" s="498"/>
      <c r="E55" s="498"/>
      <c r="F55" s="498"/>
      <c r="G55" s="498"/>
      <c r="H55" s="498"/>
      <c r="I55" s="498"/>
      <c r="J55" s="498"/>
      <c r="K55" s="498"/>
      <c r="L55" s="498"/>
      <c r="M55" s="498"/>
      <c r="N55" s="498"/>
    </row>
    <row r="56" spans="1:14" s="506" customFormat="1" hidden="1" x14ac:dyDescent="0.2">
      <c r="A56" s="498"/>
      <c r="B56" s="498"/>
      <c r="C56" s="498"/>
      <c r="D56" s="498"/>
      <c r="E56" s="498"/>
      <c r="F56" s="498"/>
      <c r="G56" s="498"/>
      <c r="H56" s="498"/>
      <c r="I56" s="498"/>
      <c r="J56" s="498"/>
      <c r="K56" s="498"/>
      <c r="L56" s="498"/>
      <c r="M56" s="498"/>
      <c r="N56" s="498"/>
    </row>
    <row r="57" spans="1:14" s="506" customFormat="1" hidden="1" x14ac:dyDescent="0.2">
      <c r="A57" s="498"/>
      <c r="B57" s="498"/>
      <c r="C57" s="498"/>
      <c r="D57" s="498"/>
      <c r="E57" s="498"/>
      <c r="F57" s="498"/>
      <c r="G57" s="498"/>
      <c r="H57" s="498"/>
      <c r="I57" s="498"/>
      <c r="J57" s="498"/>
      <c r="K57" s="498"/>
      <c r="L57" s="498"/>
      <c r="M57" s="498"/>
      <c r="N57" s="498"/>
    </row>
    <row r="58" spans="1:14" s="506" customFormat="1" hidden="1" x14ac:dyDescent="0.2">
      <c r="A58" s="498"/>
      <c r="B58" s="498"/>
      <c r="C58" s="498"/>
      <c r="D58" s="498"/>
      <c r="E58" s="498"/>
      <c r="F58" s="498"/>
      <c r="G58" s="498"/>
      <c r="H58" s="498"/>
      <c r="I58" s="498"/>
      <c r="J58" s="498"/>
      <c r="K58" s="498"/>
      <c r="L58" s="498"/>
      <c r="M58" s="498"/>
      <c r="N58" s="498"/>
    </row>
    <row r="59" spans="1:14" s="506" customFormat="1" hidden="1" x14ac:dyDescent="0.2">
      <c r="A59" s="498"/>
      <c r="B59" s="498"/>
      <c r="C59" s="498"/>
      <c r="D59" s="498"/>
      <c r="E59" s="498"/>
      <c r="F59" s="498"/>
      <c r="G59" s="498"/>
      <c r="H59" s="498"/>
      <c r="I59" s="498"/>
      <c r="J59" s="498"/>
      <c r="K59" s="498"/>
      <c r="L59" s="498"/>
      <c r="M59" s="498"/>
      <c r="N59" s="498"/>
    </row>
    <row r="60" spans="1:14" s="506" customFormat="1" hidden="1" x14ac:dyDescent="0.2">
      <c r="A60" s="498"/>
      <c r="B60" s="498"/>
      <c r="C60" s="498"/>
      <c r="D60" s="498"/>
      <c r="E60" s="498"/>
      <c r="F60" s="498"/>
      <c r="G60" s="498"/>
      <c r="H60" s="498"/>
      <c r="I60" s="498"/>
      <c r="J60" s="498"/>
      <c r="K60" s="498"/>
      <c r="L60" s="498"/>
      <c r="M60" s="498"/>
      <c r="N60" s="498"/>
    </row>
    <row r="61" spans="1:14" s="55" customFormat="1" hidden="1" x14ac:dyDescent="0.2">
      <c r="A61" s="498"/>
      <c r="B61" s="498"/>
      <c r="C61" s="498"/>
      <c r="D61" s="498"/>
      <c r="E61" s="498"/>
      <c r="F61" s="498"/>
      <c r="G61" s="498"/>
      <c r="H61" s="498"/>
      <c r="I61" s="498"/>
      <c r="J61" s="498"/>
      <c r="K61" s="498"/>
      <c r="L61" s="498"/>
      <c r="M61" s="498"/>
      <c r="N61" s="498"/>
    </row>
    <row r="62" spans="1:14" s="55" customFormat="1" hidden="1" x14ac:dyDescent="0.2">
      <c r="A62" s="498"/>
      <c r="B62" s="498"/>
      <c r="C62" s="498"/>
      <c r="D62" s="498"/>
      <c r="E62" s="498"/>
      <c r="F62" s="498"/>
      <c r="G62" s="498"/>
      <c r="H62" s="498"/>
      <c r="I62" s="498"/>
      <c r="J62" s="498"/>
      <c r="K62" s="498"/>
      <c r="L62" s="498"/>
      <c r="M62" s="498"/>
      <c r="N62" s="498"/>
    </row>
    <row r="63" spans="1:14" s="55" customFormat="1" hidden="1" x14ac:dyDescent="0.2">
      <c r="A63" s="498"/>
      <c r="B63" s="498"/>
      <c r="C63" s="498"/>
      <c r="D63" s="498"/>
      <c r="E63" s="498"/>
      <c r="F63" s="498"/>
      <c r="G63" s="498"/>
      <c r="H63" s="498"/>
      <c r="I63" s="498"/>
      <c r="J63" s="498"/>
      <c r="K63" s="498"/>
      <c r="L63" s="498"/>
      <c r="M63" s="498"/>
      <c r="N63" s="498"/>
    </row>
    <row r="64" spans="1:14" s="55" customFormat="1" hidden="1" x14ac:dyDescent="0.2">
      <c r="A64" s="498"/>
      <c r="B64" s="498"/>
      <c r="C64" s="498"/>
      <c r="D64" s="498"/>
      <c r="E64" s="498"/>
      <c r="F64" s="498"/>
      <c r="G64" s="498"/>
      <c r="H64" s="498"/>
      <c r="I64" s="498"/>
      <c r="J64" s="498"/>
      <c r="K64" s="498"/>
      <c r="L64" s="498"/>
      <c r="M64" s="498"/>
      <c r="N64" s="498"/>
    </row>
    <row r="65" spans="1:14" s="55" customFormat="1" hidden="1" x14ac:dyDescent="0.2">
      <c r="A65" s="498"/>
      <c r="B65" s="498"/>
      <c r="C65" s="498"/>
      <c r="D65" s="498"/>
      <c r="E65" s="498"/>
      <c r="F65" s="498"/>
      <c r="G65" s="498"/>
      <c r="H65" s="498"/>
      <c r="I65" s="498"/>
      <c r="J65" s="498"/>
      <c r="K65" s="498"/>
      <c r="L65" s="498"/>
      <c r="M65" s="498"/>
      <c r="N65" s="498"/>
    </row>
    <row r="66" spans="1:14" s="55" customFormat="1" hidden="1" x14ac:dyDescent="0.2">
      <c r="A66" s="498"/>
      <c r="B66" s="498"/>
      <c r="C66" s="498"/>
      <c r="D66" s="498"/>
      <c r="E66" s="498"/>
      <c r="F66" s="498"/>
      <c r="G66" s="498"/>
      <c r="H66" s="498"/>
      <c r="I66" s="498"/>
      <c r="J66" s="498"/>
      <c r="K66" s="498"/>
      <c r="L66" s="498"/>
      <c r="M66" s="498"/>
      <c r="N66" s="498"/>
    </row>
    <row r="67" spans="1:14" s="55" customFormat="1" hidden="1" x14ac:dyDescent="0.2">
      <c r="A67" s="498"/>
      <c r="B67" s="498"/>
      <c r="C67" s="498"/>
      <c r="D67" s="498"/>
      <c r="E67" s="498"/>
      <c r="F67" s="498"/>
      <c r="G67" s="498"/>
      <c r="H67" s="498"/>
      <c r="I67" s="498"/>
      <c r="J67" s="498"/>
      <c r="K67" s="498"/>
      <c r="L67" s="498"/>
      <c r="M67" s="498"/>
      <c r="N67" s="498"/>
    </row>
    <row r="68" spans="1:14" s="55" customFormat="1" hidden="1" x14ac:dyDescent="0.2">
      <c r="A68" s="498"/>
      <c r="B68" s="498"/>
      <c r="C68" s="498"/>
      <c r="D68" s="498"/>
      <c r="E68" s="498"/>
      <c r="F68" s="498"/>
      <c r="G68" s="498"/>
      <c r="H68" s="498"/>
      <c r="I68" s="498"/>
      <c r="J68" s="498"/>
      <c r="K68" s="498"/>
      <c r="L68" s="498"/>
      <c r="M68" s="498"/>
      <c r="N68" s="498"/>
    </row>
    <row r="69" spans="1:14" s="55" customFormat="1" hidden="1" x14ac:dyDescent="0.2">
      <c r="A69" s="498"/>
      <c r="B69" s="498"/>
      <c r="C69" s="498"/>
      <c r="D69" s="498"/>
      <c r="E69" s="498"/>
      <c r="F69" s="498"/>
      <c r="G69" s="498"/>
      <c r="H69" s="498"/>
      <c r="I69" s="498"/>
      <c r="J69" s="498"/>
      <c r="K69" s="498"/>
      <c r="L69" s="498"/>
      <c r="M69" s="498"/>
      <c r="N69" s="498"/>
    </row>
    <row r="70" spans="1:14" s="55" customFormat="1" hidden="1" x14ac:dyDescent="0.2">
      <c r="A70" s="498"/>
      <c r="B70" s="498"/>
      <c r="C70" s="498"/>
      <c r="D70" s="498"/>
      <c r="E70" s="498"/>
      <c r="F70" s="498"/>
      <c r="G70" s="498"/>
      <c r="H70" s="498"/>
      <c r="I70" s="498"/>
      <c r="J70" s="498"/>
      <c r="K70" s="498"/>
      <c r="L70" s="498"/>
      <c r="M70" s="498"/>
      <c r="N70" s="498"/>
    </row>
    <row r="71" spans="1:14" s="55" customFormat="1" hidden="1" x14ac:dyDescent="0.2">
      <c r="A71" s="498"/>
      <c r="B71" s="498"/>
      <c r="C71" s="498"/>
      <c r="D71" s="498"/>
      <c r="E71" s="498"/>
      <c r="F71" s="498"/>
      <c r="G71" s="498"/>
      <c r="H71" s="498"/>
      <c r="I71" s="498"/>
      <c r="J71" s="498"/>
      <c r="K71" s="498"/>
      <c r="L71" s="498"/>
      <c r="M71" s="498"/>
      <c r="N71" s="498"/>
    </row>
    <row r="72" spans="1:14" s="55" customFormat="1" hidden="1" x14ac:dyDescent="0.2">
      <c r="A72" s="498"/>
      <c r="B72" s="498"/>
      <c r="C72" s="498"/>
      <c r="D72" s="498"/>
      <c r="E72" s="498"/>
      <c r="F72" s="498"/>
      <c r="G72" s="498"/>
      <c r="H72" s="498"/>
      <c r="I72" s="498"/>
      <c r="J72" s="498"/>
      <c r="K72" s="498"/>
      <c r="L72" s="498"/>
      <c r="M72" s="498"/>
      <c r="N72" s="498"/>
    </row>
    <row r="73" spans="1:14" s="55" customFormat="1" hidden="1" x14ac:dyDescent="0.2">
      <c r="A73" s="498"/>
      <c r="B73" s="498"/>
      <c r="C73" s="498"/>
      <c r="D73" s="498"/>
      <c r="E73" s="498"/>
      <c r="F73" s="498"/>
      <c r="G73" s="498"/>
      <c r="H73" s="498"/>
      <c r="I73" s="498"/>
      <c r="J73" s="498"/>
      <c r="K73" s="498"/>
      <c r="L73" s="498"/>
      <c r="M73" s="498"/>
      <c r="N73" s="498"/>
    </row>
    <row r="74" spans="1:14" s="55" customFormat="1" hidden="1" x14ac:dyDescent="0.2">
      <c r="A74" s="498"/>
      <c r="B74" s="498"/>
      <c r="C74" s="498"/>
      <c r="D74" s="498"/>
      <c r="E74" s="498"/>
      <c r="F74" s="498"/>
      <c r="G74" s="498"/>
      <c r="H74" s="498"/>
      <c r="I74" s="498"/>
      <c r="J74" s="498"/>
      <c r="K74" s="498"/>
      <c r="L74" s="498"/>
      <c r="M74" s="498"/>
      <c r="N74" s="498"/>
    </row>
    <row r="75" spans="1:14" s="55" customFormat="1" hidden="1" x14ac:dyDescent="0.2">
      <c r="A75" s="668"/>
      <c r="B75" s="668"/>
      <c r="C75" s="668"/>
      <c r="D75" s="668"/>
      <c r="E75" s="668"/>
      <c r="F75" s="668"/>
      <c r="G75" s="668"/>
      <c r="H75" s="668"/>
      <c r="I75" s="35"/>
      <c r="J75" s="668"/>
      <c r="K75" s="668"/>
      <c r="L75" s="668"/>
      <c r="M75" s="668"/>
      <c r="N75" s="668"/>
    </row>
    <row r="76" spans="1:14" s="55" customFormat="1" hidden="1" x14ac:dyDescent="0.2">
      <c r="A76" s="668"/>
      <c r="B76" s="668"/>
      <c r="C76" s="668"/>
      <c r="D76" s="668"/>
      <c r="E76" s="668"/>
      <c r="F76" s="668"/>
      <c r="G76" s="668"/>
      <c r="H76" s="668"/>
      <c r="I76" s="35"/>
      <c r="J76" s="668"/>
      <c r="K76" s="668"/>
      <c r="L76" s="668"/>
      <c r="M76" s="668"/>
      <c r="N76" s="668"/>
    </row>
    <row r="77" spans="1:14" s="55" customFormat="1" hidden="1" x14ac:dyDescent="0.2">
      <c r="A77" s="668"/>
      <c r="B77" s="668"/>
      <c r="C77" s="668"/>
      <c r="D77" s="668"/>
      <c r="E77" s="668"/>
      <c r="F77" s="668"/>
      <c r="G77" s="668"/>
      <c r="H77" s="668"/>
      <c r="I77" s="35"/>
      <c r="J77" s="668"/>
      <c r="K77" s="668"/>
      <c r="L77" s="668"/>
      <c r="M77" s="668"/>
      <c r="N77" s="668"/>
    </row>
    <row r="78" spans="1:14" s="55" customFormat="1" hidden="1" x14ac:dyDescent="0.2">
      <c r="A78" s="668"/>
      <c r="B78" s="668"/>
      <c r="C78" s="668"/>
      <c r="D78" s="668"/>
      <c r="E78" s="668"/>
      <c r="F78" s="668"/>
      <c r="G78" s="668"/>
      <c r="H78" s="668"/>
      <c r="I78" s="35"/>
      <c r="J78" s="668"/>
      <c r="K78" s="668"/>
      <c r="L78" s="668"/>
      <c r="M78" s="668"/>
      <c r="N78" s="668"/>
    </row>
    <row r="79" spans="1:14" s="55" customFormat="1" hidden="1" x14ac:dyDescent="0.2">
      <c r="A79" s="668"/>
      <c r="B79" s="668"/>
      <c r="C79" s="668"/>
      <c r="D79" s="668"/>
      <c r="E79" s="668"/>
      <c r="F79" s="668"/>
      <c r="G79" s="668"/>
      <c r="H79" s="668"/>
      <c r="I79" s="35"/>
      <c r="J79" s="668"/>
      <c r="K79" s="668"/>
      <c r="L79" s="668"/>
      <c r="M79" s="668"/>
      <c r="N79" s="668"/>
    </row>
    <row r="80" spans="1:14" s="55" customFormat="1" hidden="1" x14ac:dyDescent="0.2">
      <c r="A80" s="668"/>
      <c r="B80" s="668"/>
      <c r="C80" s="668"/>
      <c r="D80" s="668"/>
      <c r="E80" s="668"/>
      <c r="F80" s="668"/>
      <c r="G80" s="668"/>
      <c r="H80" s="668"/>
      <c r="I80" s="35"/>
      <c r="J80" s="668"/>
      <c r="K80" s="668"/>
      <c r="L80" s="668"/>
      <c r="M80" s="668"/>
      <c r="N80" s="668"/>
    </row>
    <row r="81" spans="1:14" s="55" customFormat="1" hidden="1" x14ac:dyDescent="0.2">
      <c r="A81" s="668"/>
      <c r="B81" s="668"/>
      <c r="C81" s="668"/>
      <c r="D81" s="668"/>
      <c r="E81" s="668"/>
      <c r="F81" s="668"/>
      <c r="G81" s="668"/>
      <c r="H81" s="668"/>
      <c r="I81" s="35"/>
      <c r="J81" s="668"/>
      <c r="K81" s="668"/>
      <c r="L81" s="668"/>
      <c r="M81" s="668"/>
      <c r="N81" s="668"/>
    </row>
    <row r="82" spans="1:14" s="55" customFormat="1" hidden="1" x14ac:dyDescent="0.2">
      <c r="A82" s="668"/>
      <c r="B82" s="668"/>
      <c r="C82" s="668"/>
      <c r="D82" s="668"/>
      <c r="E82" s="668"/>
      <c r="F82" s="668"/>
      <c r="G82" s="668"/>
      <c r="H82" s="668"/>
      <c r="I82" s="35"/>
      <c r="J82" s="668"/>
      <c r="K82" s="668"/>
      <c r="L82" s="668"/>
      <c r="M82" s="668"/>
      <c r="N82" s="668"/>
    </row>
    <row r="83" spans="1:14" s="55" customFormat="1" hidden="1" x14ac:dyDescent="0.2">
      <c r="A83" s="668"/>
      <c r="B83" s="668"/>
      <c r="C83" s="668"/>
      <c r="D83" s="668"/>
      <c r="E83" s="668"/>
      <c r="F83" s="668"/>
      <c r="G83" s="668"/>
      <c r="H83" s="668"/>
      <c r="I83" s="35"/>
      <c r="J83" s="668"/>
      <c r="K83" s="668"/>
      <c r="L83" s="668"/>
      <c r="M83" s="668"/>
      <c r="N83" s="668"/>
    </row>
    <row r="84" spans="1:14" s="55" customFormat="1" hidden="1" x14ac:dyDescent="0.2">
      <c r="A84" s="668"/>
      <c r="B84" s="668"/>
      <c r="C84" s="668"/>
      <c r="D84" s="668"/>
      <c r="E84" s="668"/>
      <c r="F84" s="668"/>
      <c r="G84" s="668"/>
      <c r="H84" s="668"/>
      <c r="I84" s="35"/>
      <c r="J84" s="668"/>
      <c r="K84" s="668"/>
      <c r="L84" s="668"/>
      <c r="M84" s="668"/>
      <c r="N84" s="668"/>
    </row>
    <row r="85" spans="1:14" s="55" customFormat="1" hidden="1" x14ac:dyDescent="0.2">
      <c r="A85" s="668"/>
      <c r="B85" s="668"/>
      <c r="C85" s="668"/>
      <c r="D85" s="668"/>
      <c r="E85" s="668"/>
      <c r="F85" s="668"/>
      <c r="G85" s="668"/>
      <c r="H85" s="668"/>
      <c r="I85" s="35"/>
      <c r="J85" s="668"/>
      <c r="K85" s="668"/>
      <c r="L85" s="668"/>
      <c r="M85" s="668"/>
      <c r="N85" s="668"/>
    </row>
    <row r="86" spans="1:14" s="55" customFormat="1" hidden="1" x14ac:dyDescent="0.2">
      <c r="A86" s="668"/>
      <c r="B86" s="668"/>
      <c r="C86" s="668"/>
      <c r="D86" s="668"/>
      <c r="E86" s="668"/>
      <c r="F86" s="668"/>
      <c r="G86" s="668"/>
      <c r="H86" s="668"/>
      <c r="I86" s="35"/>
      <c r="J86" s="668"/>
      <c r="K86" s="668"/>
      <c r="L86" s="668"/>
      <c r="M86" s="668"/>
      <c r="N86" s="668"/>
    </row>
    <row r="87" spans="1:14" s="55" customFormat="1" hidden="1" x14ac:dyDescent="0.2">
      <c r="A87" s="668"/>
      <c r="B87" s="668"/>
      <c r="C87" s="668"/>
      <c r="D87" s="668"/>
      <c r="E87" s="668"/>
      <c r="F87" s="668"/>
      <c r="G87" s="668"/>
      <c r="H87" s="668"/>
      <c r="I87" s="35"/>
      <c r="J87" s="668"/>
      <c r="K87" s="668"/>
      <c r="L87" s="668"/>
      <c r="M87" s="668"/>
      <c r="N87" s="668"/>
    </row>
    <row r="88" spans="1:14" s="55" customFormat="1" hidden="1" x14ac:dyDescent="0.2">
      <c r="A88" s="668"/>
      <c r="B88" s="668"/>
      <c r="C88" s="668"/>
      <c r="D88" s="668"/>
      <c r="E88" s="668"/>
      <c r="F88" s="668"/>
      <c r="G88" s="668"/>
      <c r="H88" s="668"/>
      <c r="I88" s="35"/>
      <c r="J88" s="668"/>
      <c r="K88" s="668"/>
      <c r="L88" s="668"/>
      <c r="M88" s="668"/>
      <c r="N88" s="668"/>
    </row>
    <row r="89" spans="1:14" s="55" customFormat="1" hidden="1" x14ac:dyDescent="0.2">
      <c r="A89" s="668"/>
      <c r="B89" s="668"/>
      <c r="C89" s="668"/>
      <c r="D89" s="668"/>
      <c r="E89" s="668"/>
      <c r="F89" s="668"/>
      <c r="G89" s="668"/>
      <c r="H89" s="668"/>
      <c r="I89" s="35"/>
      <c r="J89" s="668"/>
      <c r="K89" s="668"/>
      <c r="L89" s="668"/>
      <c r="M89" s="668"/>
      <c r="N89" s="668"/>
    </row>
    <row r="90" spans="1:14" s="55" customFormat="1" hidden="1" x14ac:dyDescent="0.2">
      <c r="A90" s="668"/>
      <c r="B90" s="668"/>
      <c r="C90" s="668"/>
      <c r="D90" s="668"/>
      <c r="E90" s="668"/>
      <c r="F90" s="668"/>
      <c r="G90" s="668"/>
      <c r="H90" s="668"/>
      <c r="I90" s="35"/>
      <c r="J90" s="668"/>
      <c r="K90" s="668"/>
      <c r="L90" s="668"/>
      <c r="M90" s="668"/>
      <c r="N90" s="668"/>
    </row>
    <row r="91" spans="1:14" s="55" customFormat="1" hidden="1" x14ac:dyDescent="0.2">
      <c r="A91" s="668"/>
      <c r="B91" s="668"/>
      <c r="C91" s="668"/>
      <c r="D91" s="668"/>
      <c r="E91" s="668"/>
      <c r="F91" s="668"/>
      <c r="G91" s="668"/>
      <c r="H91" s="668"/>
      <c r="I91" s="35"/>
      <c r="J91" s="668"/>
      <c r="K91" s="668"/>
      <c r="L91" s="668"/>
      <c r="M91" s="668"/>
      <c r="N91" s="668"/>
    </row>
    <row r="92" spans="1:14" s="55" customFormat="1" hidden="1" x14ac:dyDescent="0.2">
      <c r="A92" s="668"/>
      <c r="B92" s="668"/>
      <c r="C92" s="668"/>
      <c r="D92" s="668"/>
      <c r="E92" s="668"/>
      <c r="F92" s="668"/>
      <c r="G92" s="668"/>
      <c r="H92" s="668"/>
      <c r="I92" s="35"/>
      <c r="J92" s="668"/>
      <c r="K92" s="668"/>
      <c r="L92" s="668"/>
      <c r="M92" s="668"/>
      <c r="N92" s="668"/>
    </row>
    <row r="93" spans="1:14" s="55" customFormat="1" hidden="1" x14ac:dyDescent="0.2">
      <c r="A93" s="668"/>
      <c r="B93" s="668"/>
      <c r="C93" s="668"/>
      <c r="D93" s="668"/>
      <c r="E93" s="668"/>
      <c r="F93" s="668"/>
      <c r="G93" s="668"/>
      <c r="H93" s="668"/>
      <c r="I93" s="35"/>
      <c r="J93" s="668"/>
      <c r="K93" s="668"/>
      <c r="L93" s="668"/>
      <c r="M93" s="668"/>
      <c r="N93" s="668"/>
    </row>
    <row r="94" spans="1:14" s="55" customFormat="1" hidden="1" x14ac:dyDescent="0.2">
      <c r="A94" s="668"/>
      <c r="B94" s="668"/>
      <c r="C94" s="668"/>
      <c r="D94" s="668"/>
      <c r="E94" s="668"/>
      <c r="F94" s="668"/>
      <c r="G94" s="668"/>
      <c r="H94" s="668"/>
      <c r="I94" s="35"/>
      <c r="J94" s="668"/>
      <c r="K94" s="668"/>
      <c r="L94" s="668"/>
      <c r="M94" s="668"/>
      <c r="N94" s="668"/>
    </row>
    <row r="95" spans="1:14" s="552" customFormat="1" hidden="1" x14ac:dyDescent="0.2">
      <c r="A95" s="668"/>
      <c r="B95" s="668"/>
      <c r="C95" s="668"/>
      <c r="D95" s="668"/>
      <c r="E95" s="668"/>
      <c r="F95" s="668"/>
      <c r="G95" s="668"/>
      <c r="H95" s="668"/>
      <c r="I95" s="35"/>
      <c r="J95" s="668"/>
      <c r="K95" s="668"/>
      <c r="L95" s="668"/>
      <c r="M95" s="668"/>
      <c r="N95" s="668"/>
    </row>
    <row r="96" spans="1:14" hidden="1" x14ac:dyDescent="0.2">
      <c r="A96" s="668"/>
      <c r="B96" s="668"/>
      <c r="C96" s="668"/>
      <c r="D96" s="668"/>
      <c r="E96" s="668"/>
      <c r="F96" s="668"/>
      <c r="G96" s="668"/>
      <c r="H96" s="668"/>
      <c r="I96" s="35"/>
      <c r="J96" s="668"/>
      <c r="K96" s="668"/>
      <c r="L96" s="668"/>
      <c r="M96" s="668"/>
      <c r="N96" s="668"/>
    </row>
    <row r="97" spans="1:14" hidden="1" x14ac:dyDescent="0.2">
      <c r="A97" s="668"/>
      <c r="B97" s="668"/>
      <c r="C97" s="668"/>
      <c r="D97" s="668"/>
      <c r="E97" s="668"/>
      <c r="F97" s="668"/>
      <c r="G97" s="668"/>
      <c r="H97" s="668"/>
      <c r="I97" s="35"/>
      <c r="J97" s="668"/>
      <c r="K97" s="668"/>
      <c r="L97" s="668"/>
      <c r="M97" s="668"/>
      <c r="N97" s="668"/>
    </row>
    <row r="98" spans="1:14" x14ac:dyDescent="0.2">
      <c r="A98" s="668"/>
      <c r="B98" s="668"/>
      <c r="C98" s="668"/>
      <c r="D98" s="668"/>
      <c r="E98" s="668"/>
      <c r="F98" s="668"/>
      <c r="G98" s="668"/>
      <c r="H98" s="668"/>
      <c r="I98" s="35"/>
      <c r="J98" s="668"/>
      <c r="K98" s="668"/>
      <c r="L98" s="668"/>
      <c r="M98" s="668"/>
      <c r="N98" s="668"/>
    </row>
    <row r="99" spans="1:14" x14ac:dyDescent="0.2">
      <c r="A99" s="553" t="s">
        <v>377</v>
      </c>
      <c r="B99" s="554"/>
      <c r="C99" s="525"/>
      <c r="D99" s="525"/>
      <c r="E99" s="525"/>
      <c r="F99" s="527"/>
      <c r="G99" s="550"/>
      <c r="H99" s="55"/>
      <c r="I99" s="35"/>
      <c r="J99" s="668"/>
      <c r="K99" s="668"/>
      <c r="L99" s="32"/>
      <c r="M99" s="668"/>
      <c r="N99" s="668"/>
    </row>
    <row r="100" spans="1:14" x14ac:dyDescent="0.2">
      <c r="A100" s="55"/>
      <c r="B100" s="55"/>
      <c r="C100" s="55"/>
      <c r="D100" s="55"/>
      <c r="E100" s="55"/>
      <c r="F100" s="55"/>
      <c r="G100" s="55"/>
      <c r="H100" s="55"/>
      <c r="I100" s="35"/>
      <c r="J100" s="668"/>
      <c r="K100" s="668"/>
      <c r="M100" s="668"/>
      <c r="N100" s="668"/>
    </row>
    <row r="101" spans="1:14" x14ac:dyDescent="0.2">
      <c r="D101" s="887">
        <v>1</v>
      </c>
      <c r="E101" s="551" t="str">
        <f>IFERROR(INDEX(B$9:B$97,MATCH(D101,A$9:A$97,0)),"")</f>
        <v>Ivar Viljaste, Sirje Viljaste</v>
      </c>
      <c r="F101" s="55"/>
      <c r="G101" s="557">
        <v>11</v>
      </c>
      <c r="H101" s="55"/>
      <c r="I101" s="55"/>
      <c r="J101" s="668"/>
      <c r="K101" s="668"/>
      <c r="M101" s="668"/>
      <c r="N101" s="668"/>
    </row>
    <row r="102" spans="1:14" ht="13.5" thickBot="1" x14ac:dyDescent="0.25">
      <c r="D102" s="887"/>
      <c r="E102" s="646"/>
      <c r="F102" s="645"/>
      <c r="G102" s="571"/>
      <c r="H102" s="567" t="str">
        <f>IF(COUNT(G101,G103)=2,IF(G101&gt;G103,E101,E103),"")</f>
        <v>Aigi Orro, Kalle Orro</v>
      </c>
      <c r="I102" s="55"/>
      <c r="J102" s="668"/>
      <c r="K102" s="668"/>
      <c r="L102" s="32"/>
      <c r="M102" s="668"/>
      <c r="N102" s="668"/>
    </row>
    <row r="103" spans="1:14" x14ac:dyDescent="0.2">
      <c r="D103" s="887">
        <v>2</v>
      </c>
      <c r="E103" s="572" t="str">
        <f>IFERROR(INDEX(B$9:B$97,MATCH(D103,A$9:A$97,0)),"")</f>
        <v>Aigi Orro, Kalle Orro</v>
      </c>
      <c r="F103" s="566"/>
      <c r="G103" s="562">
        <v>13</v>
      </c>
      <c r="H103" s="569" t="s">
        <v>383</v>
      </c>
      <c r="I103" s="570"/>
      <c r="J103" s="668"/>
      <c r="K103" s="668"/>
      <c r="M103" s="668"/>
      <c r="N103" s="668"/>
    </row>
    <row r="104" spans="1:14" x14ac:dyDescent="0.2">
      <c r="D104" s="887"/>
      <c r="H104" s="55"/>
      <c r="I104" s="55"/>
      <c r="J104" s="668"/>
      <c r="K104" s="668"/>
      <c r="M104" s="668"/>
      <c r="N104" s="668"/>
    </row>
    <row r="105" spans="1:14" ht="13.5" thickBot="1" x14ac:dyDescent="0.25">
      <c r="D105" s="887"/>
      <c r="H105" s="567" t="str">
        <f>IF(COUNT(G101,G103)=2,IF(G101&lt;G103,E101,E103),"")</f>
        <v>Ivar Viljaste, Sirje Viljaste</v>
      </c>
      <c r="I105" s="571"/>
      <c r="J105" s="668"/>
      <c r="K105" s="668"/>
      <c r="M105" s="668"/>
      <c r="N105" s="668"/>
    </row>
    <row r="106" spans="1:14" x14ac:dyDescent="0.2">
      <c r="D106" s="887"/>
      <c r="H106" s="569" t="s">
        <v>386</v>
      </c>
      <c r="I106" s="554"/>
      <c r="J106" s="668"/>
      <c r="K106" s="668"/>
      <c r="L106" s="32"/>
      <c r="M106" s="668"/>
      <c r="N106" s="668"/>
    </row>
    <row r="107" spans="1:14" x14ac:dyDescent="0.2">
      <c r="D107" s="887">
        <v>3</v>
      </c>
      <c r="E107" s="551" t="str">
        <f>IFERROR(INDEX(B$9:B$97,MATCH(D107,A$9:A$97,0)),"")</f>
        <v>Janek Tarto, Kristo Viljaste</v>
      </c>
      <c r="F107" s="55"/>
      <c r="G107" s="557">
        <v>3</v>
      </c>
      <c r="H107" s="55"/>
      <c r="I107" s="55"/>
      <c r="J107" s="668"/>
      <c r="K107" s="668"/>
      <c r="M107" s="668"/>
      <c r="N107" s="668"/>
    </row>
    <row r="108" spans="1:14" ht="13.5" thickBot="1" x14ac:dyDescent="0.25">
      <c r="D108" s="887"/>
      <c r="E108" s="646"/>
      <c r="F108" s="645"/>
      <c r="G108" s="571"/>
      <c r="H108" s="567" t="str">
        <f>IF(COUNT(G107,G109)=2,IF(G107&gt;G109,E107,E109),"")</f>
        <v>Jaan Sepp, Oskar Sepp</v>
      </c>
      <c r="I108" s="571"/>
      <c r="J108" s="668"/>
      <c r="K108" s="668"/>
      <c r="L108" s="32"/>
      <c r="M108" s="668"/>
      <c r="N108" s="668"/>
    </row>
    <row r="109" spans="1:14" x14ac:dyDescent="0.2">
      <c r="D109" s="887">
        <v>4</v>
      </c>
      <c r="E109" s="572" t="str">
        <f>IFERROR(INDEX(B$9:B$97,MATCH(D109,A$9:A$97,0)),"")</f>
        <v>Jaan Sepp, Oskar Sepp</v>
      </c>
      <c r="F109" s="566"/>
      <c r="G109" s="562">
        <v>13</v>
      </c>
      <c r="H109" s="523" t="s">
        <v>388</v>
      </c>
      <c r="I109" s="554"/>
      <c r="J109" s="668"/>
      <c r="K109" s="668"/>
      <c r="L109" s="32"/>
      <c r="M109" s="668"/>
      <c r="N109" s="668"/>
    </row>
    <row r="110" spans="1:14" x14ac:dyDescent="0.2">
      <c r="D110" s="887"/>
      <c r="E110" s="55"/>
      <c r="F110" s="55"/>
      <c r="G110" s="55"/>
      <c r="H110" s="554"/>
      <c r="I110" s="554"/>
      <c r="J110" s="668"/>
      <c r="K110" s="668"/>
      <c r="L110" s="32"/>
      <c r="M110" s="668"/>
      <c r="N110" s="668"/>
    </row>
    <row r="111" spans="1:14" ht="13.5" thickBot="1" x14ac:dyDescent="0.25">
      <c r="D111" s="887"/>
      <c r="E111" s="554"/>
      <c r="F111" s="554"/>
      <c r="G111" s="55"/>
      <c r="H111" s="567" t="str">
        <f>IF(COUNT(G107,G109)=2,IF(G107&lt;G109,E107,E109),"")</f>
        <v>Janek Tarto, Kristo Viljaste</v>
      </c>
      <c r="I111" s="571"/>
      <c r="J111" s="668"/>
      <c r="K111" s="668"/>
      <c r="L111" s="32"/>
      <c r="M111" s="668"/>
      <c r="N111" s="668"/>
    </row>
    <row r="112" spans="1:14" x14ac:dyDescent="0.2">
      <c r="D112" s="887"/>
      <c r="E112" s="55"/>
      <c r="F112" s="55"/>
      <c r="G112" s="55"/>
      <c r="H112" s="538" t="s">
        <v>389</v>
      </c>
      <c r="I112" s="55"/>
      <c r="J112" s="668"/>
      <c r="K112" s="668"/>
      <c r="L112" s="32"/>
      <c r="M112" s="668"/>
      <c r="N112" s="668"/>
    </row>
    <row r="113" spans="1:14" x14ac:dyDescent="0.2">
      <c r="D113" s="887">
        <v>5</v>
      </c>
      <c r="E113" s="551" t="str">
        <f>IFERROR(INDEX(B$9:B$97,MATCH(D113,A$9:A$97,0)),"")</f>
        <v>Andrei Grintšak, Boriss Klubov</v>
      </c>
      <c r="F113" s="55"/>
      <c r="G113" s="557">
        <v>12</v>
      </c>
      <c r="H113" s="55"/>
      <c r="I113" s="55"/>
      <c r="J113" s="668"/>
      <c r="K113" s="668"/>
      <c r="L113" s="32"/>
      <c r="M113" s="668"/>
      <c r="N113" s="668"/>
    </row>
    <row r="114" spans="1:14" ht="13.5" thickBot="1" x14ac:dyDescent="0.25">
      <c r="D114" s="887"/>
      <c r="E114" s="646"/>
      <c r="F114" s="645"/>
      <c r="G114" s="571"/>
      <c r="H114" s="567" t="str">
        <f>IF(COUNT(G113,G115)=2,IF(G113&gt;G115,E113,E115),"")</f>
        <v>Mait Metsla, Matti Vinni</v>
      </c>
      <c r="I114" s="55"/>
      <c r="J114" s="668"/>
      <c r="K114" s="668"/>
      <c r="M114" s="668"/>
      <c r="N114" s="668"/>
    </row>
    <row r="115" spans="1:14" x14ac:dyDescent="0.2">
      <c r="D115" s="887">
        <v>6</v>
      </c>
      <c r="E115" s="572" t="str">
        <f>IFERROR(INDEX(B$9:B$97,MATCH(D115,A$9:A$97,0)),"")</f>
        <v>Mait Metsla, Matti Vinni</v>
      </c>
      <c r="F115" s="566"/>
      <c r="G115" s="562">
        <v>13</v>
      </c>
      <c r="H115" s="569" t="s">
        <v>390</v>
      </c>
      <c r="I115" s="570"/>
      <c r="J115" s="668"/>
      <c r="K115" s="668"/>
      <c r="M115" s="668"/>
      <c r="N115" s="668"/>
    </row>
    <row r="116" spans="1:14" x14ac:dyDescent="0.2">
      <c r="A116" s="538"/>
      <c r="B116" s="539"/>
      <c r="C116" s="55"/>
      <c r="D116" s="538"/>
      <c r="H116" s="55"/>
      <c r="I116" s="55"/>
      <c r="J116" s="668"/>
      <c r="K116" s="668"/>
      <c r="L116" s="668"/>
      <c r="M116" s="668"/>
      <c r="N116" s="668"/>
    </row>
    <row r="117" spans="1:14" ht="13.5" thickBot="1" x14ac:dyDescent="0.25">
      <c r="A117" s="55"/>
      <c r="B117" s="55"/>
      <c r="C117" s="55"/>
      <c r="D117" s="538"/>
      <c r="H117" s="567" t="str">
        <f>IF(COUNT(G113,G115)=2,IF(G113&lt;G115,E113,E115),"")</f>
        <v>Andrei Grintšak, Boriss Klubov</v>
      </c>
      <c r="I117" s="571"/>
      <c r="J117" s="668"/>
      <c r="K117" s="668"/>
      <c r="L117" s="668"/>
      <c r="M117" s="668"/>
      <c r="N117" s="668"/>
    </row>
    <row r="118" spans="1:14" x14ac:dyDescent="0.2">
      <c r="A118" s="55"/>
      <c r="B118" s="55"/>
      <c r="C118" s="55"/>
      <c r="D118" s="538"/>
      <c r="H118" s="569" t="s">
        <v>391</v>
      </c>
      <c r="I118" s="554"/>
      <c r="J118" s="668"/>
      <c r="K118" s="668"/>
      <c r="L118" s="668"/>
      <c r="M118" s="668"/>
      <c r="N118" s="668"/>
    </row>
    <row r="119" spans="1:14" x14ac:dyDescent="0.2">
      <c r="A119" s="55"/>
      <c r="B119" s="55"/>
      <c r="C119" s="55"/>
      <c r="D119" s="538">
        <v>7</v>
      </c>
      <c r="E119" s="551" t="str">
        <f>IFERROR(INDEX(B$9:B$97,MATCH(D119,A$9:A$97,0)),"")</f>
        <v>Oksana Sažina, Oleg Rõndenkov</v>
      </c>
      <c r="F119" s="55"/>
      <c r="G119" s="557">
        <v>13</v>
      </c>
      <c r="H119" s="55"/>
      <c r="I119" s="55"/>
      <c r="J119" s="668"/>
      <c r="K119" s="668"/>
      <c r="L119" s="668"/>
      <c r="M119" s="668"/>
      <c r="N119" s="668"/>
    </row>
    <row r="120" spans="1:14" ht="13.5" thickBot="1" x14ac:dyDescent="0.25">
      <c r="A120" s="55"/>
      <c r="B120" s="55"/>
      <c r="C120" s="55"/>
      <c r="D120" s="538"/>
      <c r="E120" s="646"/>
      <c r="F120" s="645"/>
      <c r="G120" s="571"/>
      <c r="H120" s="567" t="str">
        <f>IF(COUNT(G119,G121)=2,IF(G119&gt;G121,E119,E121),"")</f>
        <v>Oksana Sažina, Oleg Rõndenkov</v>
      </c>
      <c r="I120" s="571"/>
      <c r="J120" s="668"/>
      <c r="K120" s="668"/>
      <c r="L120" s="668"/>
      <c r="M120" s="668"/>
      <c r="N120" s="668"/>
    </row>
    <row r="121" spans="1:14" x14ac:dyDescent="0.2">
      <c r="A121" s="55"/>
      <c r="B121" s="55"/>
      <c r="C121" s="55"/>
      <c r="D121" s="538">
        <v>8</v>
      </c>
      <c r="E121" s="572" t="str">
        <f>IFERROR(INDEX(B$9:B$97,MATCH(D121,A$9:A$97,0)),"")</f>
        <v>Elmo Lageda, Tõnu Piik</v>
      </c>
      <c r="F121" s="566"/>
      <c r="G121" s="562">
        <v>11</v>
      </c>
      <c r="H121" s="523" t="s">
        <v>392</v>
      </c>
      <c r="I121" s="554"/>
      <c r="L121" s="668"/>
      <c r="M121" s="668"/>
      <c r="N121" s="668"/>
    </row>
    <row r="122" spans="1:14" x14ac:dyDescent="0.2">
      <c r="A122" s="55"/>
      <c r="B122" s="55"/>
      <c r="E122" s="55"/>
      <c r="F122" s="55"/>
      <c r="G122" s="55"/>
      <c r="H122" s="554"/>
      <c r="I122" s="554"/>
      <c r="L122" s="668"/>
      <c r="M122" s="668"/>
      <c r="N122" s="668"/>
    </row>
    <row r="123" spans="1:14" ht="13.5" thickBot="1" x14ac:dyDescent="0.25">
      <c r="A123" s="55"/>
      <c r="B123" s="55"/>
      <c r="E123" s="554"/>
      <c r="F123" s="554"/>
      <c r="G123" s="55"/>
      <c r="H123" s="567" t="str">
        <f>IF(COUNT(G119,G121)=2,IF(G119&lt;G121,E119,E121),"")</f>
        <v>Elmo Lageda, Tõnu Piik</v>
      </c>
      <c r="I123" s="571"/>
      <c r="L123" s="668"/>
      <c r="M123" s="668"/>
      <c r="N123" s="668"/>
    </row>
    <row r="124" spans="1:14" x14ac:dyDescent="0.2">
      <c r="A124" s="55"/>
      <c r="B124" s="55"/>
      <c r="E124" s="55"/>
      <c r="F124" s="55"/>
      <c r="G124" s="55"/>
      <c r="H124" s="538" t="s">
        <v>393</v>
      </c>
      <c r="I124" s="55"/>
      <c r="L124" s="668"/>
      <c r="M124" s="668"/>
      <c r="N124" s="668"/>
    </row>
    <row r="125" spans="1:14" hidden="1" x14ac:dyDescent="0.2">
      <c r="A125" s="55"/>
      <c r="B125" s="55"/>
      <c r="L125" s="668"/>
      <c r="M125" s="668"/>
      <c r="N125" s="668"/>
    </row>
    <row r="126" spans="1:14" hidden="1" x14ac:dyDescent="0.2">
      <c r="A126" s="55"/>
      <c r="B126" s="55"/>
      <c r="L126" s="668"/>
      <c r="M126" s="668"/>
      <c r="N126" s="668"/>
    </row>
    <row r="127" spans="1:14" hidden="1" x14ac:dyDescent="0.2">
      <c r="A127" s="55"/>
      <c r="B127" s="55"/>
      <c r="L127" s="668"/>
      <c r="M127" s="668"/>
      <c r="N127" s="668"/>
    </row>
    <row r="128" spans="1:14" hidden="1" x14ac:dyDescent="0.2">
      <c r="A128" s="55"/>
      <c r="B128" s="55"/>
      <c r="L128" s="668"/>
      <c r="M128" s="668"/>
      <c r="N128" s="668"/>
    </row>
    <row r="129" spans="1:14" hidden="1" x14ac:dyDescent="0.2">
      <c r="A129" s="55"/>
      <c r="B129" s="55"/>
      <c r="C129" s="557"/>
      <c r="D129" s="557"/>
      <c r="L129" s="668"/>
      <c r="M129" s="668"/>
      <c r="N129" s="668"/>
    </row>
    <row r="130" spans="1:14" hidden="1" x14ac:dyDescent="0.2">
      <c r="A130" s="55"/>
      <c r="B130" s="55"/>
      <c r="C130" s="557"/>
      <c r="D130" s="575"/>
      <c r="L130" s="668"/>
      <c r="M130" s="668"/>
      <c r="N130" s="668"/>
    </row>
    <row r="131" spans="1:14" hidden="1" x14ac:dyDescent="0.2">
      <c r="A131" s="55"/>
      <c r="B131" s="55"/>
      <c r="C131" s="557"/>
      <c r="D131" s="575"/>
      <c r="L131" s="668"/>
      <c r="M131" s="668"/>
      <c r="N131" s="668"/>
    </row>
    <row r="132" spans="1:14" hidden="1" x14ac:dyDescent="0.2">
      <c r="A132" s="55"/>
      <c r="B132" s="55"/>
      <c r="C132" s="557"/>
      <c r="D132" s="575"/>
      <c r="L132" s="668"/>
      <c r="M132" s="668"/>
      <c r="N132" s="668"/>
    </row>
    <row r="133" spans="1:14" hidden="1" x14ac:dyDescent="0.2">
      <c r="A133" s="55"/>
      <c r="B133" s="55"/>
      <c r="C133" s="55"/>
      <c r="D133" s="554"/>
      <c r="L133" s="668"/>
      <c r="M133" s="668"/>
      <c r="N133" s="668"/>
    </row>
    <row r="134" spans="1:14" hidden="1" x14ac:dyDescent="0.2">
      <c r="A134" s="55"/>
      <c r="B134" s="55"/>
      <c r="C134" s="55"/>
      <c r="D134" s="55"/>
      <c r="L134" s="668"/>
      <c r="M134" s="668"/>
      <c r="N134" s="668"/>
    </row>
    <row r="135" spans="1:14" hidden="1" x14ac:dyDescent="0.2">
      <c r="A135" s="578"/>
      <c r="B135" s="579"/>
      <c r="C135" s="527"/>
      <c r="D135" s="527"/>
      <c r="L135" s="668"/>
      <c r="M135" s="668"/>
      <c r="N135" s="668"/>
    </row>
    <row r="136" spans="1:14" hidden="1" x14ac:dyDescent="0.2">
      <c r="A136" s="668"/>
      <c r="B136" s="668"/>
      <c r="C136" s="668"/>
      <c r="D136" s="668"/>
      <c r="L136" s="668"/>
      <c r="M136" s="668"/>
      <c r="N136" s="668"/>
    </row>
    <row r="137" spans="1:14" hidden="1" x14ac:dyDescent="0.2">
      <c r="M137" s="668"/>
      <c r="N137" s="668"/>
    </row>
    <row r="138" spans="1:14" hidden="1" x14ac:dyDescent="0.2">
      <c r="M138" s="668"/>
      <c r="N138" s="668"/>
    </row>
    <row r="139" spans="1:14" hidden="1" x14ac:dyDescent="0.2">
      <c r="M139" s="668"/>
      <c r="N139" s="668"/>
    </row>
    <row r="140" spans="1:14" hidden="1" x14ac:dyDescent="0.2">
      <c r="M140" s="668"/>
      <c r="N140" s="668"/>
    </row>
    <row r="141" spans="1:14" hidden="1" x14ac:dyDescent="0.2">
      <c r="M141" s="668"/>
      <c r="N141" s="668"/>
    </row>
    <row r="142" spans="1:14" hidden="1" x14ac:dyDescent="0.2">
      <c r="M142" s="668"/>
      <c r="N142" s="668"/>
    </row>
    <row r="143" spans="1:14" hidden="1" x14ac:dyDescent="0.2">
      <c r="M143" s="668"/>
      <c r="N143" s="668"/>
    </row>
    <row r="144" spans="1:14" hidden="1" x14ac:dyDescent="0.2">
      <c r="M144" s="668"/>
      <c r="N144" s="668"/>
    </row>
    <row r="145" spans="13:14" hidden="1" x14ac:dyDescent="0.2">
      <c r="M145" s="668"/>
      <c r="N145" s="668"/>
    </row>
    <row r="146" spans="13:14" hidden="1" x14ac:dyDescent="0.2">
      <c r="M146" s="668"/>
      <c r="N146" s="668"/>
    </row>
    <row r="147" spans="13:14" hidden="1" x14ac:dyDescent="0.2">
      <c r="M147" s="668"/>
      <c r="N147" s="668"/>
    </row>
    <row r="148" spans="13:14" hidden="1" x14ac:dyDescent="0.2">
      <c r="M148" s="668"/>
      <c r="N148" s="668"/>
    </row>
    <row r="149" spans="13:14" hidden="1" x14ac:dyDescent="0.2">
      <c r="M149" s="668"/>
      <c r="N149" s="668"/>
    </row>
    <row r="150" spans="13:14" hidden="1" x14ac:dyDescent="0.2">
      <c r="M150" s="668"/>
      <c r="N150" s="668"/>
    </row>
    <row r="151" spans="13:14" hidden="1" x14ac:dyDescent="0.2">
      <c r="M151" s="668"/>
      <c r="N151" s="668"/>
    </row>
    <row r="152" spans="13:14" hidden="1" x14ac:dyDescent="0.2">
      <c r="M152" s="668"/>
      <c r="N152" s="668"/>
    </row>
    <row r="153" spans="13:14" hidden="1" x14ac:dyDescent="0.2">
      <c r="M153" s="668"/>
      <c r="N153" s="668"/>
    </row>
    <row r="154" spans="13:14" hidden="1" x14ac:dyDescent="0.2">
      <c r="M154" s="668"/>
      <c r="N154" s="668"/>
    </row>
    <row r="155" spans="13:14" hidden="1" x14ac:dyDescent="0.2">
      <c r="M155" s="668"/>
      <c r="N155" s="668"/>
    </row>
    <row r="156" spans="13:14" hidden="1" x14ac:dyDescent="0.2">
      <c r="M156" s="668"/>
      <c r="N156" s="668"/>
    </row>
    <row r="157" spans="13:14" hidden="1" x14ac:dyDescent="0.2">
      <c r="M157" s="668"/>
      <c r="N157" s="668"/>
    </row>
    <row r="158" spans="13:14" hidden="1" x14ac:dyDescent="0.2">
      <c r="M158" s="668"/>
      <c r="N158" s="668"/>
    </row>
    <row r="159" spans="13:14" hidden="1" x14ac:dyDescent="0.2">
      <c r="M159" s="668"/>
      <c r="N159" s="668"/>
    </row>
    <row r="160" spans="13:14" hidden="1" x14ac:dyDescent="0.2">
      <c r="M160" s="668"/>
      <c r="N160" s="668"/>
    </row>
    <row r="161" spans="13:14" hidden="1" x14ac:dyDescent="0.2">
      <c r="M161" s="668"/>
      <c r="N161" s="668"/>
    </row>
    <row r="162" spans="13:14" hidden="1" x14ac:dyDescent="0.2">
      <c r="M162" s="668"/>
      <c r="N162" s="668"/>
    </row>
    <row r="163" spans="13:14" hidden="1" x14ac:dyDescent="0.2">
      <c r="M163" s="668"/>
      <c r="N163" s="668"/>
    </row>
    <row r="164" spans="13:14" hidden="1" x14ac:dyDescent="0.2">
      <c r="M164" s="668"/>
      <c r="N164" s="668"/>
    </row>
    <row r="165" spans="13:14" hidden="1" x14ac:dyDescent="0.2">
      <c r="M165" s="668"/>
      <c r="N165" s="668"/>
    </row>
    <row r="166" spans="13:14" hidden="1" x14ac:dyDescent="0.2">
      <c r="M166" s="668"/>
      <c r="N166" s="668"/>
    </row>
    <row r="167" spans="13:14" hidden="1" x14ac:dyDescent="0.2">
      <c r="M167" s="668"/>
      <c r="N167" s="668"/>
    </row>
    <row r="168" spans="13:14" hidden="1" x14ac:dyDescent="0.2">
      <c r="M168" s="668"/>
      <c r="N168" s="668"/>
    </row>
    <row r="169" spans="13:14" hidden="1" x14ac:dyDescent="0.2">
      <c r="M169" s="668"/>
      <c r="N169" s="668"/>
    </row>
    <row r="170" spans="13:14" hidden="1" x14ac:dyDescent="0.2">
      <c r="M170" s="668"/>
      <c r="N170" s="668"/>
    </row>
    <row r="171" spans="13:14" hidden="1" x14ac:dyDescent="0.2">
      <c r="M171" s="668"/>
      <c r="N171" s="668"/>
    </row>
    <row r="172" spans="13:14" hidden="1" x14ac:dyDescent="0.2">
      <c r="M172" s="668"/>
      <c r="N172" s="668"/>
    </row>
    <row r="173" spans="13:14" hidden="1" x14ac:dyDescent="0.2">
      <c r="M173" s="668"/>
      <c r="N173" s="668"/>
    </row>
    <row r="174" spans="13:14" hidden="1" x14ac:dyDescent="0.2">
      <c r="M174" s="668"/>
      <c r="N174" s="668"/>
    </row>
    <row r="175" spans="13:14" hidden="1" x14ac:dyDescent="0.2">
      <c r="M175" s="668"/>
      <c r="N175" s="668"/>
    </row>
    <row r="176" spans="13:14" hidden="1" x14ac:dyDescent="0.2">
      <c r="M176" s="668"/>
      <c r="N176" s="668"/>
    </row>
    <row r="177" spans="1:14" hidden="1" x14ac:dyDescent="0.2">
      <c r="A177" s="668"/>
      <c r="B177" s="668"/>
      <c r="C177" s="668"/>
      <c r="D177" s="668"/>
      <c r="E177" s="668"/>
      <c r="F177" s="668"/>
      <c r="G177" s="668"/>
      <c r="H177" s="668"/>
      <c r="I177" s="668"/>
      <c r="J177" s="668"/>
      <c r="K177" s="668"/>
      <c r="L177" s="668"/>
      <c r="M177" s="668"/>
      <c r="N177" s="668"/>
    </row>
    <row r="178" spans="1:14" hidden="1" x14ac:dyDescent="0.2">
      <c r="A178" s="668"/>
      <c r="B178" s="668"/>
      <c r="C178" s="668"/>
      <c r="D178" s="668"/>
      <c r="E178" s="668"/>
      <c r="F178" s="668"/>
      <c r="G178" s="668"/>
      <c r="H178" s="668"/>
      <c r="I178" s="668"/>
      <c r="J178" s="668"/>
      <c r="K178" s="668"/>
      <c r="L178" s="668"/>
      <c r="M178" s="668"/>
      <c r="N178" s="668"/>
    </row>
    <row r="179" spans="1:14" hidden="1" x14ac:dyDescent="0.2">
      <c r="A179" s="668"/>
      <c r="B179" s="668"/>
      <c r="C179" s="668"/>
      <c r="D179" s="668"/>
      <c r="E179" s="668"/>
      <c r="F179" s="668"/>
      <c r="G179" s="668"/>
      <c r="H179" s="668"/>
      <c r="I179" s="668"/>
      <c r="J179" s="668"/>
      <c r="K179" s="668"/>
      <c r="L179" s="668"/>
      <c r="M179" s="668"/>
      <c r="N179" s="668"/>
    </row>
    <row r="180" spans="1:14" hidden="1" x14ac:dyDescent="0.2">
      <c r="A180" s="668"/>
      <c r="B180" s="668"/>
      <c r="C180" s="668"/>
      <c r="D180" s="668"/>
      <c r="E180" s="668"/>
      <c r="F180" s="668"/>
      <c r="G180" s="668"/>
      <c r="H180" s="668"/>
      <c r="I180" s="668"/>
      <c r="J180" s="668"/>
      <c r="K180" s="668"/>
      <c r="L180" s="668"/>
      <c r="M180" s="668"/>
      <c r="N180" s="668"/>
    </row>
    <row r="181" spans="1:14" hidden="1" x14ac:dyDescent="0.2">
      <c r="A181" s="668"/>
      <c r="B181" s="668"/>
      <c r="C181" s="668"/>
      <c r="D181" s="668"/>
      <c r="E181" s="668"/>
      <c r="F181" s="668"/>
      <c r="G181" s="668"/>
      <c r="H181" s="668"/>
      <c r="I181" s="668"/>
      <c r="J181" s="668"/>
      <c r="K181" s="668"/>
      <c r="L181" s="668"/>
      <c r="M181" s="668"/>
      <c r="N181" s="668"/>
    </row>
    <row r="182" spans="1:14" hidden="1" x14ac:dyDescent="0.2">
      <c r="A182" s="668"/>
      <c r="B182" s="668"/>
      <c r="C182" s="668"/>
      <c r="D182" s="668"/>
      <c r="E182" s="668"/>
      <c r="F182" s="668"/>
      <c r="G182" s="668"/>
      <c r="H182" s="668"/>
      <c r="I182" s="668"/>
      <c r="J182" s="668"/>
      <c r="K182" s="668"/>
      <c r="L182" s="668"/>
      <c r="M182" s="668"/>
      <c r="N182" s="668"/>
    </row>
    <row r="183" spans="1:14" hidden="1" x14ac:dyDescent="0.2">
      <c r="A183" s="668"/>
      <c r="B183" s="668"/>
      <c r="C183" s="668"/>
      <c r="D183" s="668"/>
      <c r="E183" s="668"/>
      <c r="F183" s="668"/>
      <c r="G183" s="668"/>
      <c r="H183" s="668"/>
      <c r="I183" s="668"/>
      <c r="J183" s="668"/>
      <c r="K183" s="668"/>
      <c r="L183" s="668"/>
      <c r="M183" s="668"/>
      <c r="N183" s="668"/>
    </row>
    <row r="184" spans="1:14" hidden="1" x14ac:dyDescent="0.2">
      <c r="A184" s="668"/>
      <c r="B184" s="668"/>
      <c r="C184" s="668"/>
      <c r="D184" s="668"/>
      <c r="E184" s="668"/>
      <c r="F184" s="668"/>
      <c r="G184" s="668"/>
      <c r="H184" s="668"/>
      <c r="I184" s="668"/>
      <c r="J184" s="668"/>
      <c r="K184" s="668"/>
      <c r="L184" s="668"/>
      <c r="M184" s="668"/>
      <c r="N184" s="668"/>
    </row>
    <row r="185" spans="1:14" hidden="1" x14ac:dyDescent="0.2">
      <c r="A185" s="668"/>
      <c r="B185" s="668"/>
      <c r="C185" s="668"/>
      <c r="D185" s="668"/>
      <c r="E185" s="668"/>
      <c r="F185" s="668"/>
      <c r="G185" s="668"/>
      <c r="H185" s="668"/>
      <c r="I185" s="668"/>
      <c r="J185" s="668"/>
      <c r="K185" s="668"/>
      <c r="L185" s="668"/>
      <c r="M185" s="668"/>
      <c r="N185" s="668"/>
    </row>
    <row r="186" spans="1:14" hidden="1" x14ac:dyDescent="0.2">
      <c r="A186" s="668"/>
      <c r="B186" s="668"/>
      <c r="C186" s="668"/>
      <c r="D186" s="668"/>
      <c r="E186" s="668"/>
      <c r="F186" s="668"/>
      <c r="G186" s="668"/>
      <c r="H186" s="668"/>
      <c r="I186" s="668"/>
      <c r="J186" s="668"/>
      <c r="K186" s="668"/>
      <c r="L186" s="668"/>
      <c r="M186" s="668"/>
      <c r="N186" s="668"/>
    </row>
    <row r="187" spans="1:14" hidden="1" x14ac:dyDescent="0.2">
      <c r="A187" s="668"/>
      <c r="B187" s="668"/>
      <c r="C187" s="668"/>
      <c r="D187" s="668"/>
      <c r="E187" s="668"/>
      <c r="F187" s="668"/>
      <c r="G187" s="668"/>
      <c r="H187" s="668"/>
      <c r="I187" s="668"/>
      <c r="J187" s="668"/>
      <c r="K187" s="668"/>
      <c r="L187" s="668"/>
      <c r="M187" s="668"/>
      <c r="N187" s="668"/>
    </row>
    <row r="188" spans="1:14" hidden="1" x14ac:dyDescent="0.2">
      <c r="A188" s="668"/>
      <c r="B188" s="668"/>
      <c r="C188" s="668"/>
      <c r="D188" s="668"/>
      <c r="E188" s="668"/>
      <c r="F188" s="668"/>
      <c r="G188" s="668"/>
      <c r="H188" s="668"/>
      <c r="I188" s="668"/>
      <c r="J188" s="668"/>
      <c r="K188" s="668"/>
      <c r="L188" s="668"/>
      <c r="M188" s="668"/>
      <c r="N188" s="668"/>
    </row>
    <row r="189" spans="1:14" hidden="1" x14ac:dyDescent="0.2">
      <c r="A189" s="668"/>
      <c r="B189" s="668"/>
      <c r="C189" s="668"/>
      <c r="D189" s="668"/>
      <c r="E189" s="668"/>
      <c r="F189" s="668"/>
      <c r="G189" s="668"/>
      <c r="H189" s="668"/>
      <c r="I189" s="668"/>
      <c r="J189" s="668"/>
      <c r="K189" s="668"/>
      <c r="L189" s="668"/>
      <c r="M189" s="668"/>
      <c r="N189" s="668"/>
    </row>
    <row r="190" spans="1:14" hidden="1" x14ac:dyDescent="0.2">
      <c r="A190" s="668"/>
      <c r="B190" s="668"/>
      <c r="C190" s="668"/>
      <c r="D190" s="668"/>
      <c r="E190" s="668"/>
      <c r="F190" s="668"/>
      <c r="G190" s="668"/>
      <c r="H190" s="668"/>
      <c r="I190" s="668"/>
      <c r="J190" s="668"/>
      <c r="K190" s="668"/>
      <c r="L190" s="668"/>
      <c r="M190" s="668"/>
      <c r="N190" s="668"/>
    </row>
    <row r="191" spans="1:14" hidden="1" x14ac:dyDescent="0.2">
      <c r="A191" s="668"/>
      <c r="B191" s="668"/>
      <c r="C191" s="668"/>
      <c r="D191" s="668"/>
      <c r="E191" s="668"/>
      <c r="F191" s="668"/>
      <c r="G191" s="668"/>
      <c r="H191" s="668"/>
      <c r="I191" s="668"/>
      <c r="J191" s="668"/>
      <c r="K191" s="668"/>
      <c r="L191" s="668"/>
      <c r="M191" s="668"/>
      <c r="N191" s="668"/>
    </row>
    <row r="192" spans="1:14" hidden="1" x14ac:dyDescent="0.2">
      <c r="A192" s="668"/>
      <c r="B192" s="668"/>
      <c r="C192" s="668"/>
      <c r="D192" s="668"/>
      <c r="E192" s="668"/>
      <c r="F192" s="668"/>
      <c r="G192" s="668"/>
      <c r="H192" s="668"/>
      <c r="I192" s="668"/>
      <c r="J192" s="668"/>
      <c r="K192" s="668"/>
      <c r="L192" s="668"/>
      <c r="M192" s="668"/>
      <c r="N192" s="668"/>
    </row>
    <row r="193" spans="1:14" hidden="1" x14ac:dyDescent="0.2">
      <c r="A193" s="668"/>
      <c r="B193" s="668"/>
      <c r="C193" s="668"/>
      <c r="D193" s="668"/>
      <c r="E193" s="668"/>
      <c r="F193" s="668"/>
      <c r="G193" s="668"/>
      <c r="H193" s="668"/>
      <c r="I193" s="668"/>
      <c r="J193" s="668"/>
      <c r="K193" s="668"/>
      <c r="L193" s="668"/>
      <c r="M193" s="668"/>
      <c r="N193" s="668"/>
    </row>
    <row r="194" spans="1:14" hidden="1" x14ac:dyDescent="0.2">
      <c r="A194" s="668"/>
      <c r="B194" s="668"/>
      <c r="C194" s="668"/>
      <c r="D194" s="668"/>
      <c r="E194" s="668"/>
      <c r="F194" s="668"/>
      <c r="G194" s="668"/>
      <c r="H194" s="668"/>
      <c r="I194" s="668"/>
      <c r="J194" s="668"/>
      <c r="K194" s="668"/>
      <c r="L194" s="668"/>
      <c r="M194" s="668"/>
      <c r="N194" s="668"/>
    </row>
    <row r="195" spans="1:14" hidden="1" x14ac:dyDescent="0.2">
      <c r="A195" s="668"/>
      <c r="B195" s="668"/>
      <c r="C195" s="668"/>
      <c r="D195" s="668"/>
      <c r="E195" s="668"/>
      <c r="F195" s="668"/>
      <c r="G195" s="668"/>
      <c r="H195" s="668"/>
      <c r="I195" s="668"/>
      <c r="J195" s="668"/>
      <c r="K195" s="668"/>
      <c r="L195" s="668"/>
      <c r="M195" s="668"/>
      <c r="N195" s="668"/>
    </row>
    <row r="196" spans="1:14" hidden="1" x14ac:dyDescent="0.2">
      <c r="A196" s="668"/>
      <c r="B196" s="668"/>
      <c r="C196" s="668"/>
      <c r="D196" s="668"/>
      <c r="E196" s="668"/>
      <c r="F196" s="668"/>
      <c r="G196" s="668"/>
      <c r="H196" s="668"/>
      <c r="I196" s="668"/>
      <c r="J196" s="668"/>
      <c r="K196" s="668"/>
      <c r="L196" s="668"/>
      <c r="M196" s="668"/>
      <c r="N196" s="668"/>
    </row>
    <row r="197" spans="1:14" hidden="1" x14ac:dyDescent="0.2">
      <c r="A197" s="668"/>
      <c r="B197" s="668"/>
      <c r="C197" s="668"/>
      <c r="D197" s="668"/>
      <c r="E197" s="668"/>
      <c r="F197" s="668"/>
      <c r="G197" s="668"/>
      <c r="H197" s="668"/>
      <c r="I197" s="668"/>
      <c r="J197" s="668"/>
      <c r="K197" s="668"/>
      <c r="L197" s="668"/>
      <c r="M197" s="668"/>
      <c r="N197" s="668"/>
    </row>
    <row r="198" spans="1:14" hidden="1" x14ac:dyDescent="0.2">
      <c r="A198" s="668"/>
      <c r="B198" s="668"/>
      <c r="C198" s="668"/>
      <c r="D198" s="668"/>
      <c r="E198" s="668"/>
      <c r="F198" s="668"/>
      <c r="G198" s="668"/>
      <c r="H198" s="668"/>
      <c r="I198" s="668"/>
      <c r="J198" s="668"/>
      <c r="K198" s="668"/>
      <c r="L198" s="668"/>
      <c r="M198" s="668"/>
      <c r="N198" s="668"/>
    </row>
    <row r="199" spans="1:14" hidden="1" x14ac:dyDescent="0.2">
      <c r="A199" s="668"/>
      <c r="B199" s="668"/>
      <c r="C199" s="668"/>
      <c r="D199" s="668"/>
      <c r="E199" s="668"/>
      <c r="F199" s="668"/>
      <c r="G199" s="668"/>
      <c r="H199" s="668"/>
      <c r="I199" s="668"/>
      <c r="J199" s="668"/>
      <c r="K199" s="668"/>
      <c r="L199" s="668"/>
      <c r="M199" s="668"/>
      <c r="N199" s="668"/>
    </row>
    <row r="200" spans="1:14" hidden="1" x14ac:dyDescent="0.2">
      <c r="A200" s="668"/>
      <c r="B200" s="668"/>
      <c r="C200" s="668"/>
      <c r="D200" s="668"/>
      <c r="E200" s="668"/>
      <c r="F200" s="668"/>
      <c r="G200" s="668"/>
      <c r="H200" s="668"/>
      <c r="I200" s="668"/>
      <c r="J200" s="668"/>
      <c r="K200" s="668"/>
      <c r="L200" s="668"/>
      <c r="M200" s="668"/>
      <c r="N200" s="668"/>
    </row>
    <row r="201" spans="1:14" hidden="1" x14ac:dyDescent="0.2">
      <c r="A201" s="668"/>
      <c r="B201" s="668"/>
      <c r="C201" s="668"/>
      <c r="D201" s="668"/>
      <c r="E201" s="668"/>
      <c r="F201" s="668"/>
      <c r="G201" s="668"/>
      <c r="H201" s="668"/>
      <c r="I201" s="668"/>
      <c r="J201" s="668"/>
      <c r="K201" s="668"/>
      <c r="L201" s="668"/>
      <c r="M201" s="668"/>
      <c r="N201" s="668"/>
    </row>
    <row r="202" spans="1:14" hidden="1" x14ac:dyDescent="0.2">
      <c r="A202" s="668"/>
      <c r="B202" s="668"/>
      <c r="C202" s="668"/>
      <c r="D202" s="668"/>
      <c r="E202" s="668"/>
      <c r="F202" s="668"/>
      <c r="G202" s="668"/>
      <c r="H202" s="668"/>
      <c r="I202" s="668"/>
      <c r="J202" s="668"/>
      <c r="K202" s="668"/>
      <c r="L202" s="668"/>
      <c r="M202" s="668"/>
      <c r="N202" s="668"/>
    </row>
    <row r="203" spans="1:14" hidden="1" x14ac:dyDescent="0.2">
      <c r="A203" s="668"/>
      <c r="B203" s="668"/>
      <c r="C203" s="668"/>
      <c r="D203" s="668"/>
      <c r="E203" s="668"/>
      <c r="F203" s="668"/>
      <c r="G203" s="668"/>
      <c r="H203" s="668"/>
      <c r="I203" s="668"/>
      <c r="J203" s="668"/>
      <c r="K203" s="668"/>
      <c r="L203" s="668"/>
      <c r="M203" s="668"/>
      <c r="N203" s="668"/>
    </row>
    <row r="204" spans="1:14" hidden="1" x14ac:dyDescent="0.2">
      <c r="A204" s="668"/>
      <c r="B204" s="668"/>
      <c r="C204" s="668"/>
      <c r="D204" s="668"/>
      <c r="E204" s="668"/>
      <c r="F204" s="668"/>
      <c r="G204" s="668"/>
      <c r="H204" s="668"/>
      <c r="I204" s="668"/>
      <c r="J204" s="668"/>
      <c r="K204" s="668"/>
      <c r="L204" s="668"/>
      <c r="M204" s="668"/>
      <c r="N204" s="668"/>
    </row>
    <row r="205" spans="1:14" hidden="1" x14ac:dyDescent="0.2">
      <c r="A205" s="668"/>
      <c r="B205" s="668"/>
      <c r="C205" s="668"/>
      <c r="D205" s="668"/>
      <c r="E205" s="668"/>
      <c r="F205" s="668"/>
      <c r="G205" s="668"/>
      <c r="H205" s="668"/>
      <c r="I205" s="668"/>
      <c r="J205" s="668"/>
      <c r="K205" s="668"/>
      <c r="L205" s="668"/>
      <c r="M205" s="668"/>
      <c r="N205" s="668"/>
    </row>
    <row r="206" spans="1:14" hidden="1" x14ac:dyDescent="0.2">
      <c r="A206" s="668"/>
      <c r="B206" s="668"/>
      <c r="C206" s="668"/>
      <c r="D206" s="668"/>
      <c r="E206" s="668"/>
      <c r="F206" s="668"/>
      <c r="G206" s="668"/>
      <c r="H206" s="668"/>
      <c r="I206" s="668"/>
      <c r="J206" s="668"/>
      <c r="K206" s="668"/>
      <c r="L206" s="668"/>
      <c r="M206" s="668"/>
      <c r="N206" s="668"/>
    </row>
    <row r="207" spans="1:14" hidden="1" x14ac:dyDescent="0.2">
      <c r="A207" s="668"/>
      <c r="B207" s="668"/>
      <c r="C207" s="668"/>
      <c r="D207" s="668"/>
      <c r="E207" s="668"/>
      <c r="F207" s="668"/>
      <c r="G207" s="668"/>
      <c r="H207" s="668"/>
      <c r="I207" s="668"/>
      <c r="J207" s="668"/>
      <c r="K207" s="668"/>
      <c r="L207" s="668"/>
      <c r="M207" s="668"/>
      <c r="N207" s="668"/>
    </row>
    <row r="208" spans="1:14" hidden="1" x14ac:dyDescent="0.2">
      <c r="A208" s="668"/>
      <c r="B208" s="668"/>
      <c r="C208" s="668"/>
      <c r="D208" s="668"/>
      <c r="E208" s="668"/>
      <c r="F208" s="668"/>
      <c r="G208" s="668"/>
      <c r="H208" s="668"/>
      <c r="I208" s="668"/>
      <c r="J208" s="668"/>
      <c r="K208" s="668"/>
      <c r="L208" s="668"/>
      <c r="M208" s="668"/>
      <c r="N208" s="668"/>
    </row>
    <row r="209" spans="1:14" hidden="1" x14ac:dyDescent="0.2">
      <c r="A209" s="668"/>
      <c r="B209" s="668"/>
      <c r="C209" s="668"/>
      <c r="D209" s="668"/>
      <c r="E209" s="668"/>
      <c r="F209" s="668"/>
      <c r="G209" s="668"/>
      <c r="H209" s="668"/>
      <c r="I209" s="668"/>
      <c r="J209" s="668"/>
      <c r="K209" s="668"/>
      <c r="L209" s="668"/>
      <c r="M209" s="668"/>
      <c r="N209" s="668"/>
    </row>
    <row r="210" spans="1:14" hidden="1" x14ac:dyDescent="0.2">
      <c r="A210" s="668"/>
      <c r="B210" s="668"/>
      <c r="C210" s="668"/>
      <c r="D210" s="668"/>
      <c r="E210" s="668"/>
      <c r="F210" s="668"/>
      <c r="G210" s="668"/>
      <c r="H210" s="668"/>
      <c r="I210" s="668"/>
      <c r="J210" s="668"/>
      <c r="K210" s="668"/>
      <c r="L210" s="668"/>
      <c r="M210" s="668"/>
      <c r="N210" s="668"/>
    </row>
    <row r="211" spans="1:14" hidden="1" x14ac:dyDescent="0.2">
      <c r="A211" s="668"/>
      <c r="B211" s="668"/>
      <c r="C211" s="668"/>
      <c r="D211" s="668"/>
      <c r="E211" s="668"/>
      <c r="F211" s="668"/>
      <c r="G211" s="668"/>
      <c r="H211" s="668"/>
      <c r="I211" s="668"/>
      <c r="J211" s="668"/>
      <c r="K211" s="668"/>
      <c r="L211" s="668"/>
      <c r="M211" s="668"/>
      <c r="N211" s="668"/>
    </row>
    <row r="212" spans="1:14" hidden="1" x14ac:dyDescent="0.2">
      <c r="A212" s="668"/>
      <c r="B212" s="668"/>
      <c r="C212" s="668"/>
      <c r="D212" s="668"/>
      <c r="E212" s="668"/>
      <c r="F212" s="668"/>
      <c r="G212" s="668"/>
      <c r="H212" s="668"/>
      <c r="I212" s="668"/>
      <c r="J212" s="668"/>
      <c r="K212" s="668"/>
      <c r="L212" s="668"/>
      <c r="M212" s="668"/>
      <c r="N212" s="668"/>
    </row>
    <row r="213" spans="1:14" hidden="1" x14ac:dyDescent="0.2">
      <c r="A213" s="668"/>
      <c r="B213" s="668"/>
      <c r="C213" s="668"/>
      <c r="D213" s="668"/>
      <c r="E213" s="668"/>
      <c r="F213" s="668"/>
      <c r="G213" s="668"/>
      <c r="H213" s="668"/>
      <c r="I213" s="668"/>
      <c r="J213" s="668"/>
      <c r="K213" s="668"/>
      <c r="L213" s="668"/>
      <c r="M213" s="668"/>
      <c r="N213" s="668"/>
    </row>
    <row r="214" spans="1:14" hidden="1" x14ac:dyDescent="0.2">
      <c r="A214" s="668"/>
      <c r="B214" s="668"/>
      <c r="C214" s="668"/>
      <c r="D214" s="668"/>
      <c r="E214" s="668"/>
      <c r="F214" s="668"/>
      <c r="G214" s="668"/>
      <c r="H214" s="668"/>
      <c r="I214" s="668"/>
      <c r="J214" s="668"/>
      <c r="K214" s="668"/>
      <c r="L214" s="668"/>
      <c r="M214" s="668"/>
      <c r="N214" s="668"/>
    </row>
    <row r="215" spans="1:14" hidden="1" x14ac:dyDescent="0.2">
      <c r="A215" s="668"/>
      <c r="B215" s="668"/>
      <c r="C215" s="668"/>
      <c r="D215" s="668"/>
      <c r="E215" s="668"/>
      <c r="F215" s="668"/>
      <c r="G215" s="668"/>
      <c r="H215" s="668"/>
      <c r="I215" s="668"/>
      <c r="J215" s="668"/>
      <c r="K215" s="668"/>
      <c r="L215" s="668"/>
      <c r="M215" s="668"/>
      <c r="N215" s="668"/>
    </row>
    <row r="216" spans="1:14" hidden="1" x14ac:dyDescent="0.2">
      <c r="A216" s="668"/>
      <c r="B216" s="668"/>
      <c r="C216" s="668"/>
      <c r="D216" s="668"/>
      <c r="E216" s="668"/>
      <c r="F216" s="668"/>
      <c r="G216" s="668"/>
      <c r="H216" s="668"/>
      <c r="I216" s="668"/>
      <c r="J216" s="668"/>
      <c r="K216" s="668"/>
      <c r="L216" s="668"/>
      <c r="M216" s="668"/>
      <c r="N216" s="668"/>
    </row>
    <row r="217" spans="1:14" hidden="1" x14ac:dyDescent="0.2">
      <c r="A217" s="668"/>
      <c r="B217" s="668"/>
      <c r="C217" s="668"/>
      <c r="D217" s="668"/>
      <c r="E217" s="668"/>
      <c r="F217" s="668"/>
      <c r="G217" s="668"/>
      <c r="H217" s="668"/>
      <c r="I217" s="668"/>
      <c r="J217" s="668"/>
      <c r="K217" s="668"/>
      <c r="L217" s="668"/>
      <c r="M217" s="668"/>
      <c r="N217" s="668"/>
    </row>
    <row r="218" spans="1:14" hidden="1" x14ac:dyDescent="0.2">
      <c r="A218" s="668"/>
      <c r="B218" s="668"/>
      <c r="C218" s="668"/>
      <c r="D218" s="668"/>
      <c r="E218" s="668"/>
      <c r="F218" s="668"/>
      <c r="G218" s="668"/>
      <c r="H218" s="668"/>
      <c r="I218" s="668"/>
      <c r="J218" s="668"/>
      <c r="K218" s="668"/>
      <c r="L218" s="668"/>
      <c r="M218" s="668"/>
      <c r="N218" s="668"/>
    </row>
    <row r="219" spans="1:14" hidden="1" x14ac:dyDescent="0.2">
      <c r="A219" s="668"/>
      <c r="B219" s="668"/>
      <c r="C219" s="668"/>
      <c r="D219" s="668"/>
      <c r="E219" s="668"/>
      <c r="F219" s="668"/>
      <c r="G219" s="668"/>
      <c r="H219" s="668"/>
      <c r="I219" s="668"/>
      <c r="J219" s="668"/>
      <c r="K219" s="668"/>
      <c r="L219" s="668"/>
      <c r="M219" s="668"/>
      <c r="N219" s="668"/>
    </row>
    <row r="220" spans="1:14" hidden="1" x14ac:dyDescent="0.2">
      <c r="A220" s="668"/>
      <c r="B220" s="668"/>
      <c r="C220" s="668"/>
      <c r="D220" s="668"/>
      <c r="E220" s="668"/>
      <c r="F220" s="668"/>
      <c r="G220" s="668"/>
      <c r="H220" s="668"/>
      <c r="I220" s="668"/>
      <c r="J220" s="668"/>
      <c r="K220" s="668"/>
      <c r="L220" s="668"/>
      <c r="M220" s="668"/>
      <c r="N220" s="668"/>
    </row>
    <row r="221" spans="1:14" hidden="1" x14ac:dyDescent="0.2">
      <c r="A221" s="668"/>
      <c r="B221" s="668"/>
      <c r="C221" s="668"/>
      <c r="D221" s="668"/>
      <c r="E221" s="668"/>
      <c r="F221" s="668"/>
      <c r="G221" s="668"/>
      <c r="H221" s="668"/>
      <c r="I221" s="668"/>
      <c r="J221" s="668"/>
      <c r="K221" s="668"/>
      <c r="L221" s="668"/>
      <c r="M221" s="668"/>
      <c r="N221" s="668"/>
    </row>
    <row r="222" spans="1:14" hidden="1" x14ac:dyDescent="0.2">
      <c r="A222" s="668"/>
      <c r="B222" s="668"/>
      <c r="C222" s="668"/>
      <c r="D222" s="668"/>
      <c r="E222" s="668"/>
      <c r="F222" s="668"/>
      <c r="G222" s="668"/>
      <c r="H222" s="668"/>
      <c r="I222" s="668"/>
      <c r="J222" s="668"/>
      <c r="K222" s="668"/>
      <c r="L222" s="668"/>
      <c r="M222" s="668"/>
      <c r="N222" s="668"/>
    </row>
    <row r="223" spans="1:14" hidden="1" x14ac:dyDescent="0.2">
      <c r="A223" s="668"/>
      <c r="B223" s="668"/>
      <c r="C223" s="668"/>
      <c r="D223" s="668"/>
      <c r="E223" s="668"/>
      <c r="F223" s="668"/>
      <c r="G223" s="668"/>
      <c r="H223" s="668"/>
      <c r="I223" s="668"/>
      <c r="J223" s="668"/>
      <c r="K223" s="668"/>
      <c r="L223" s="668"/>
      <c r="M223" s="668"/>
      <c r="N223" s="668"/>
    </row>
    <row r="224" spans="1:14" hidden="1" x14ac:dyDescent="0.2">
      <c r="A224" s="668"/>
      <c r="B224" s="668"/>
      <c r="C224" s="668"/>
      <c r="D224" s="668"/>
      <c r="E224" s="668"/>
      <c r="F224" s="668"/>
      <c r="G224" s="668"/>
      <c r="H224" s="668"/>
      <c r="I224" s="668"/>
      <c r="J224" s="668"/>
      <c r="K224" s="668"/>
      <c r="L224" s="668"/>
      <c r="M224" s="668"/>
      <c r="N224" s="668"/>
    </row>
    <row r="225" spans="1:14" hidden="1" x14ac:dyDescent="0.2">
      <c r="A225" s="668"/>
      <c r="B225" s="668"/>
      <c r="C225" s="668"/>
      <c r="D225" s="668"/>
      <c r="E225" s="668"/>
      <c r="F225" s="668"/>
      <c r="G225" s="668"/>
      <c r="H225" s="668"/>
      <c r="I225" s="668"/>
      <c r="J225" s="668"/>
      <c r="K225" s="668"/>
      <c r="L225" s="668"/>
      <c r="M225" s="668"/>
      <c r="N225" s="668"/>
    </row>
    <row r="226" spans="1:14" hidden="1" x14ac:dyDescent="0.2">
      <c r="A226" s="668"/>
      <c r="B226" s="668"/>
      <c r="C226" s="668"/>
      <c r="D226" s="668"/>
      <c r="E226" s="668"/>
      <c r="F226" s="668"/>
      <c r="G226" s="668"/>
      <c r="H226" s="668"/>
      <c r="I226" s="668"/>
      <c r="J226" s="668"/>
      <c r="K226" s="668"/>
      <c r="L226" s="668"/>
      <c r="M226" s="668"/>
      <c r="N226" s="668"/>
    </row>
    <row r="227" spans="1:14" hidden="1" x14ac:dyDescent="0.2">
      <c r="A227" s="668"/>
      <c r="B227" s="668"/>
      <c r="C227" s="668"/>
      <c r="D227" s="668"/>
      <c r="E227" s="668"/>
      <c r="F227" s="668"/>
      <c r="G227" s="668"/>
      <c r="H227" s="668"/>
      <c r="I227" s="668"/>
      <c r="J227" s="668"/>
      <c r="K227" s="668"/>
      <c r="L227" s="668"/>
      <c r="M227" s="668"/>
      <c r="N227" s="668"/>
    </row>
    <row r="228" spans="1:14" hidden="1" x14ac:dyDescent="0.2">
      <c r="A228" s="668"/>
      <c r="B228" s="668"/>
      <c r="C228" s="668"/>
      <c r="D228" s="668"/>
      <c r="E228" s="668"/>
      <c r="F228" s="668"/>
      <c r="G228" s="668"/>
      <c r="H228" s="668"/>
      <c r="I228" s="668"/>
      <c r="J228" s="668"/>
      <c r="K228" s="668"/>
      <c r="L228" s="668"/>
      <c r="M228" s="668"/>
      <c r="N228" s="668"/>
    </row>
    <row r="229" spans="1:14" hidden="1" x14ac:dyDescent="0.2">
      <c r="A229" s="668"/>
      <c r="B229" s="668"/>
      <c r="C229" s="668"/>
      <c r="D229" s="668"/>
      <c r="E229" s="668"/>
      <c r="F229" s="668"/>
      <c r="G229" s="668"/>
      <c r="H229" s="668"/>
      <c r="I229" s="668"/>
      <c r="J229" s="668"/>
      <c r="K229" s="668"/>
      <c r="L229" s="668"/>
      <c r="M229" s="668"/>
      <c r="N229" s="668"/>
    </row>
    <row r="230" spans="1:14" hidden="1" x14ac:dyDescent="0.2">
      <c r="A230" s="668"/>
      <c r="B230" s="668"/>
      <c r="C230" s="668"/>
      <c r="D230" s="668"/>
      <c r="E230" s="668"/>
      <c r="F230" s="668"/>
      <c r="G230" s="668"/>
      <c r="H230" s="668"/>
      <c r="I230" s="668"/>
      <c r="J230" s="668"/>
      <c r="K230" s="668"/>
      <c r="L230" s="668"/>
      <c r="M230" s="668"/>
      <c r="N230" s="668"/>
    </row>
    <row r="231" spans="1:14" hidden="1" x14ac:dyDescent="0.2">
      <c r="A231" s="668"/>
      <c r="B231" s="668"/>
      <c r="C231" s="668"/>
      <c r="D231" s="668"/>
      <c r="E231" s="668"/>
      <c r="F231" s="668"/>
      <c r="G231" s="668"/>
      <c r="H231" s="668"/>
      <c r="I231" s="668"/>
      <c r="J231" s="668"/>
      <c r="K231" s="668"/>
      <c r="L231" s="668"/>
      <c r="M231" s="668"/>
      <c r="N231" s="668"/>
    </row>
    <row r="232" spans="1:14" hidden="1" x14ac:dyDescent="0.2">
      <c r="A232" s="668"/>
      <c r="B232" s="668"/>
      <c r="C232" s="668"/>
      <c r="D232" s="668"/>
      <c r="E232" s="668"/>
      <c r="F232" s="668"/>
      <c r="G232" s="668"/>
      <c r="H232" s="668"/>
      <c r="I232" s="668"/>
      <c r="J232" s="668"/>
      <c r="K232" s="668"/>
      <c r="L232" s="668"/>
      <c r="M232" s="668"/>
      <c r="N232" s="668"/>
    </row>
    <row r="233" spans="1:14" hidden="1" x14ac:dyDescent="0.2">
      <c r="A233" s="668"/>
      <c r="B233" s="668"/>
      <c r="C233" s="668"/>
      <c r="D233" s="668"/>
      <c r="E233" s="668"/>
      <c r="F233" s="668"/>
      <c r="G233" s="668"/>
      <c r="H233" s="668"/>
      <c r="I233" s="668"/>
      <c r="J233" s="668"/>
      <c r="K233" s="668"/>
      <c r="L233" s="668"/>
      <c r="M233" s="668"/>
      <c r="N233" s="668"/>
    </row>
    <row r="234" spans="1:14" hidden="1" x14ac:dyDescent="0.2">
      <c r="A234" s="668"/>
      <c r="B234" s="668"/>
      <c r="C234" s="668"/>
      <c r="D234" s="668"/>
      <c r="E234" s="668"/>
      <c r="F234" s="668"/>
      <c r="G234" s="668"/>
      <c r="H234" s="668"/>
      <c r="I234" s="668"/>
      <c r="J234" s="668"/>
      <c r="K234" s="668"/>
      <c r="L234" s="668"/>
      <c r="M234" s="668"/>
      <c r="N234" s="668"/>
    </row>
    <row r="235" spans="1:14" hidden="1" x14ac:dyDescent="0.2">
      <c r="A235" s="668"/>
      <c r="B235" s="668"/>
      <c r="C235" s="668"/>
      <c r="D235" s="668"/>
      <c r="E235" s="668"/>
      <c r="F235" s="668"/>
      <c r="G235" s="668"/>
      <c r="H235" s="668"/>
      <c r="I235" s="668"/>
      <c r="J235" s="668"/>
      <c r="K235" s="668"/>
      <c r="L235" s="668"/>
      <c r="M235" s="668"/>
      <c r="N235" s="668"/>
    </row>
    <row r="236" spans="1:14" hidden="1" x14ac:dyDescent="0.2">
      <c r="A236" s="668"/>
      <c r="B236" s="668"/>
      <c r="C236" s="668"/>
      <c r="D236" s="668"/>
      <c r="E236" s="668"/>
      <c r="F236" s="668"/>
      <c r="G236" s="668"/>
      <c r="H236" s="668"/>
      <c r="I236" s="668"/>
      <c r="J236" s="668"/>
      <c r="K236" s="668"/>
      <c r="L236" s="668"/>
      <c r="M236" s="668"/>
      <c r="N236" s="668"/>
    </row>
    <row r="237" spans="1:14" hidden="1" x14ac:dyDescent="0.2">
      <c r="A237" s="668"/>
      <c r="B237" s="668"/>
      <c r="C237" s="668"/>
      <c r="D237" s="668"/>
      <c r="E237" s="668"/>
      <c r="F237" s="668"/>
      <c r="G237" s="668"/>
      <c r="H237" s="668"/>
      <c r="I237" s="668"/>
      <c r="J237" s="668"/>
      <c r="K237" s="668"/>
      <c r="L237" s="668"/>
      <c r="M237" s="668"/>
      <c r="N237" s="668"/>
    </row>
    <row r="238" spans="1:14" hidden="1" x14ac:dyDescent="0.2">
      <c r="A238" s="668"/>
      <c r="B238" s="668"/>
      <c r="C238" s="668"/>
      <c r="D238" s="668"/>
      <c r="E238" s="668"/>
      <c r="F238" s="668"/>
      <c r="G238" s="668"/>
      <c r="H238" s="668"/>
      <c r="I238" s="668"/>
      <c r="J238" s="668"/>
      <c r="K238" s="668"/>
      <c r="L238" s="668"/>
      <c r="M238" s="668"/>
      <c r="N238" s="668"/>
    </row>
    <row r="239" spans="1:14" hidden="1" x14ac:dyDescent="0.2">
      <c r="A239" s="668"/>
      <c r="B239" s="668"/>
      <c r="C239" s="668"/>
      <c r="D239" s="668"/>
      <c r="E239" s="668"/>
      <c r="F239" s="668"/>
      <c r="G239" s="668"/>
      <c r="H239" s="668"/>
      <c r="I239" s="668"/>
      <c r="J239" s="668"/>
      <c r="K239" s="668"/>
      <c r="L239" s="668"/>
      <c r="M239" s="668"/>
      <c r="N239" s="668"/>
    </row>
    <row r="240" spans="1:14" hidden="1" x14ac:dyDescent="0.2">
      <c r="A240" s="668"/>
      <c r="B240" s="668"/>
      <c r="C240" s="668"/>
      <c r="D240" s="668"/>
      <c r="E240" s="668"/>
      <c r="F240" s="668"/>
      <c r="G240" s="668"/>
      <c r="H240" s="668"/>
      <c r="I240" s="668"/>
      <c r="J240" s="668"/>
      <c r="K240" s="668"/>
      <c r="L240" s="668"/>
      <c r="M240" s="668"/>
      <c r="N240" s="668"/>
    </row>
    <row r="241" spans="1:14" hidden="1" x14ac:dyDescent="0.2">
      <c r="A241" s="668"/>
      <c r="B241" s="668"/>
      <c r="C241" s="668"/>
      <c r="D241" s="668"/>
      <c r="E241" s="668"/>
      <c r="F241" s="668"/>
      <c r="G241" s="668"/>
      <c r="H241" s="668"/>
      <c r="I241" s="668"/>
      <c r="J241" s="668"/>
      <c r="K241" s="668"/>
      <c r="L241" s="668"/>
      <c r="M241" s="668"/>
      <c r="N241" s="668"/>
    </row>
    <row r="242" spans="1:14" hidden="1" x14ac:dyDescent="0.2">
      <c r="A242" s="668"/>
      <c r="B242" s="668"/>
      <c r="C242" s="668"/>
      <c r="D242" s="668"/>
      <c r="E242" s="668"/>
      <c r="F242" s="668"/>
      <c r="G242" s="668"/>
      <c r="H242" s="668"/>
      <c r="I242" s="668"/>
      <c r="J242" s="668"/>
      <c r="K242" s="668"/>
      <c r="L242" s="668"/>
      <c r="M242" s="668"/>
      <c r="N242" s="668"/>
    </row>
    <row r="243" spans="1:14" hidden="1" x14ac:dyDescent="0.2">
      <c r="A243" s="668"/>
      <c r="B243" s="668"/>
      <c r="C243" s="668"/>
      <c r="D243" s="668"/>
      <c r="E243" s="668"/>
      <c r="F243" s="668"/>
      <c r="G243" s="668"/>
      <c r="H243" s="668"/>
      <c r="I243" s="668"/>
      <c r="J243" s="668"/>
      <c r="K243" s="668"/>
      <c r="L243" s="668"/>
      <c r="M243" s="668"/>
      <c r="N243" s="668"/>
    </row>
    <row r="244" spans="1:14" hidden="1" x14ac:dyDescent="0.2">
      <c r="A244" s="668"/>
      <c r="B244" s="668"/>
      <c r="C244" s="668"/>
      <c r="D244" s="668"/>
      <c r="E244" s="668"/>
      <c r="F244" s="668"/>
      <c r="G244" s="668"/>
      <c r="H244" s="668"/>
      <c r="I244" s="668"/>
      <c r="J244" s="668"/>
      <c r="K244" s="668"/>
      <c r="L244" s="668"/>
      <c r="M244" s="668"/>
      <c r="N244" s="668"/>
    </row>
    <row r="245" spans="1:14" hidden="1" x14ac:dyDescent="0.2">
      <c r="A245" s="668"/>
      <c r="B245" s="668"/>
      <c r="C245" s="668"/>
      <c r="D245" s="668"/>
      <c r="E245" s="668"/>
      <c r="F245" s="668"/>
      <c r="G245" s="668"/>
      <c r="H245" s="668"/>
      <c r="I245" s="668"/>
      <c r="J245" s="668"/>
      <c r="K245" s="668"/>
      <c r="L245" s="668"/>
      <c r="M245" s="668"/>
      <c r="N245" s="668"/>
    </row>
    <row r="246" spans="1:14" hidden="1" x14ac:dyDescent="0.2">
      <c r="A246" s="668"/>
      <c r="B246" s="668"/>
      <c r="C246" s="668"/>
      <c r="D246" s="668"/>
      <c r="E246" s="668"/>
      <c r="F246" s="668"/>
      <c r="G246" s="668"/>
      <c r="H246" s="668"/>
      <c r="I246" s="668"/>
      <c r="J246" s="668"/>
      <c r="K246" s="668"/>
      <c r="L246" s="668"/>
      <c r="M246" s="668"/>
      <c r="N246" s="668"/>
    </row>
    <row r="247" spans="1:14" hidden="1" x14ac:dyDescent="0.2">
      <c r="A247" s="668"/>
      <c r="B247" s="668"/>
      <c r="C247" s="668"/>
      <c r="D247" s="668"/>
      <c r="E247" s="668"/>
      <c r="F247" s="668"/>
      <c r="G247" s="668"/>
      <c r="H247" s="668"/>
      <c r="I247" s="668"/>
      <c r="J247" s="668"/>
      <c r="K247" s="668"/>
      <c r="L247" s="668"/>
      <c r="M247" s="668"/>
      <c r="N247" s="668"/>
    </row>
    <row r="248" spans="1:14" hidden="1" x14ac:dyDescent="0.2">
      <c r="A248" s="668"/>
      <c r="B248" s="668"/>
      <c r="C248" s="668"/>
      <c r="D248" s="668"/>
      <c r="E248" s="668"/>
      <c r="F248" s="668"/>
      <c r="G248" s="668"/>
      <c r="H248" s="668"/>
      <c r="I248" s="668"/>
      <c r="J248" s="668"/>
      <c r="K248" s="668"/>
      <c r="L248" s="668"/>
      <c r="M248" s="668"/>
      <c r="N248" s="668"/>
    </row>
    <row r="249" spans="1:14" hidden="1" x14ac:dyDescent="0.2">
      <c r="A249" s="668"/>
      <c r="B249" s="668"/>
      <c r="C249" s="668"/>
      <c r="D249" s="668"/>
      <c r="E249" s="668"/>
      <c r="F249" s="668"/>
      <c r="G249" s="668"/>
      <c r="H249" s="668"/>
      <c r="I249" s="668"/>
      <c r="J249" s="668"/>
      <c r="K249" s="668"/>
      <c r="L249" s="668"/>
      <c r="M249" s="668"/>
      <c r="N249" s="668"/>
    </row>
    <row r="250" spans="1:14" hidden="1" x14ac:dyDescent="0.2">
      <c r="A250" s="668"/>
      <c r="B250" s="668"/>
      <c r="C250" s="668"/>
      <c r="D250" s="668"/>
      <c r="E250" s="668"/>
      <c r="F250" s="668"/>
      <c r="G250" s="668"/>
      <c r="H250" s="668"/>
      <c r="I250" s="668"/>
      <c r="J250" s="668"/>
      <c r="K250" s="668"/>
      <c r="L250" s="668"/>
      <c r="M250" s="668"/>
      <c r="N250" s="668"/>
    </row>
    <row r="251" spans="1:14" hidden="1" x14ac:dyDescent="0.2">
      <c r="A251" s="668"/>
      <c r="B251" s="668"/>
      <c r="C251" s="668"/>
      <c r="D251" s="668"/>
      <c r="E251" s="668"/>
      <c r="F251" s="668"/>
      <c r="G251" s="668"/>
      <c r="H251" s="668"/>
      <c r="I251" s="668"/>
      <c r="J251" s="668"/>
      <c r="K251" s="668"/>
      <c r="L251" s="668"/>
      <c r="M251" s="668"/>
      <c r="N251" s="668"/>
    </row>
    <row r="252" spans="1:14" hidden="1" x14ac:dyDescent="0.2">
      <c r="A252" s="668"/>
      <c r="B252" s="668"/>
      <c r="C252" s="668"/>
      <c r="D252" s="668"/>
      <c r="E252" s="668"/>
      <c r="F252" s="668"/>
      <c r="G252" s="668"/>
      <c r="H252" s="668"/>
      <c r="I252" s="668"/>
      <c r="J252" s="668"/>
      <c r="K252" s="668"/>
      <c r="L252" s="668"/>
      <c r="M252" s="668"/>
      <c r="N252" s="668"/>
    </row>
    <row r="253" spans="1:14" hidden="1" x14ac:dyDescent="0.2">
      <c r="A253" s="668"/>
      <c r="B253" s="668"/>
      <c r="C253" s="668"/>
      <c r="D253" s="668"/>
      <c r="E253" s="668"/>
      <c r="F253" s="668"/>
      <c r="G253" s="668"/>
      <c r="H253" s="668"/>
      <c r="I253" s="668"/>
      <c r="J253" s="668"/>
      <c r="K253" s="668"/>
      <c r="L253" s="668"/>
      <c r="M253" s="668"/>
      <c r="N253" s="668"/>
    </row>
    <row r="254" spans="1:14" hidden="1" x14ac:dyDescent="0.2">
      <c r="A254" s="668"/>
      <c r="B254" s="668"/>
      <c r="C254" s="668"/>
      <c r="D254" s="668"/>
      <c r="E254" s="668"/>
      <c r="F254" s="668"/>
      <c r="G254" s="668"/>
      <c r="H254" s="668"/>
      <c r="I254" s="668"/>
      <c r="J254" s="668"/>
      <c r="K254" s="668"/>
      <c r="L254" s="668"/>
      <c r="M254" s="668"/>
      <c r="N254" s="668"/>
    </row>
    <row r="255" spans="1:14" hidden="1" x14ac:dyDescent="0.2">
      <c r="A255" s="668"/>
      <c r="B255" s="668"/>
      <c r="C255" s="668"/>
      <c r="D255" s="668"/>
      <c r="E255" s="668"/>
      <c r="F255" s="668"/>
      <c r="G255" s="668"/>
      <c r="H255" s="668"/>
      <c r="I255" s="668"/>
      <c r="J255" s="668"/>
      <c r="K255" s="668"/>
      <c r="L255" s="668"/>
      <c r="M255" s="668"/>
      <c r="N255" s="668"/>
    </row>
    <row r="256" spans="1:14" hidden="1" x14ac:dyDescent="0.2">
      <c r="A256" s="668"/>
      <c r="B256" s="668"/>
      <c r="C256" s="668"/>
      <c r="D256" s="668"/>
      <c r="E256" s="668"/>
      <c r="F256" s="668"/>
      <c r="G256" s="668"/>
      <c r="H256" s="668"/>
      <c r="I256" s="668"/>
      <c r="J256" s="668"/>
      <c r="K256" s="668"/>
      <c r="L256" s="668"/>
      <c r="M256" s="668"/>
      <c r="N256" s="668"/>
    </row>
    <row r="257" spans="1:14" hidden="1" x14ac:dyDescent="0.2">
      <c r="A257" s="668"/>
      <c r="B257" s="668"/>
      <c r="C257" s="668"/>
      <c r="D257" s="668"/>
      <c r="E257" s="668"/>
      <c r="F257" s="668"/>
      <c r="G257" s="668"/>
      <c r="H257" s="668"/>
      <c r="I257" s="668"/>
      <c r="J257" s="668"/>
      <c r="K257" s="668"/>
      <c r="L257" s="668"/>
      <c r="M257" s="668"/>
      <c r="N257" s="668"/>
    </row>
    <row r="258" spans="1:14" hidden="1" x14ac:dyDescent="0.2">
      <c r="A258" s="668"/>
      <c r="B258" s="668"/>
      <c r="C258" s="668"/>
      <c r="D258" s="668"/>
      <c r="E258" s="668"/>
      <c r="F258" s="668"/>
      <c r="G258" s="668"/>
      <c r="H258" s="668"/>
      <c r="I258" s="668"/>
      <c r="J258" s="668"/>
      <c r="K258" s="668"/>
      <c r="L258" s="668"/>
      <c r="M258" s="668"/>
      <c r="N258" s="668"/>
    </row>
    <row r="259" spans="1:14" hidden="1" x14ac:dyDescent="0.2">
      <c r="A259" s="668"/>
      <c r="B259" s="668"/>
      <c r="C259" s="668"/>
      <c r="D259" s="668"/>
      <c r="E259" s="668"/>
      <c r="F259" s="668"/>
      <c r="G259" s="668"/>
      <c r="H259" s="668"/>
      <c r="I259" s="668"/>
      <c r="J259" s="668"/>
      <c r="K259" s="668"/>
      <c r="L259" s="668"/>
      <c r="M259" s="668"/>
      <c r="N259" s="668"/>
    </row>
    <row r="260" spans="1:14" hidden="1" x14ac:dyDescent="0.2">
      <c r="A260" s="668"/>
      <c r="B260" s="668"/>
      <c r="C260" s="668"/>
      <c r="D260" s="668"/>
      <c r="E260" s="668"/>
      <c r="F260" s="668"/>
      <c r="G260" s="668"/>
      <c r="H260" s="668"/>
      <c r="I260" s="668"/>
      <c r="J260" s="668"/>
      <c r="K260" s="668"/>
      <c r="L260" s="668"/>
      <c r="M260" s="668"/>
      <c r="N260" s="668"/>
    </row>
    <row r="261" spans="1:14" hidden="1" x14ac:dyDescent="0.2">
      <c r="A261" s="668"/>
      <c r="B261" s="668"/>
      <c r="C261" s="668"/>
      <c r="D261" s="668"/>
      <c r="E261" s="668"/>
      <c r="F261" s="668"/>
      <c r="G261" s="668"/>
      <c r="H261" s="668"/>
      <c r="I261" s="668"/>
      <c r="J261" s="668"/>
      <c r="K261" s="668"/>
      <c r="L261" s="668"/>
      <c r="M261" s="668"/>
      <c r="N261" s="668"/>
    </row>
    <row r="262" spans="1:14" hidden="1" x14ac:dyDescent="0.2">
      <c r="A262" s="668"/>
      <c r="B262" s="668"/>
      <c r="C262" s="668"/>
      <c r="D262" s="668"/>
      <c r="E262" s="668"/>
      <c r="F262" s="668"/>
      <c r="G262" s="668"/>
      <c r="H262" s="668"/>
      <c r="I262" s="668"/>
      <c r="J262" s="668"/>
      <c r="K262" s="668"/>
      <c r="L262" s="668"/>
      <c r="M262" s="668"/>
      <c r="N262" s="668"/>
    </row>
    <row r="263" spans="1:14" hidden="1" x14ac:dyDescent="0.2">
      <c r="A263" s="668"/>
      <c r="B263" s="668"/>
      <c r="C263" s="668"/>
      <c r="D263" s="668"/>
      <c r="E263" s="668"/>
      <c r="F263" s="668"/>
      <c r="G263" s="668"/>
      <c r="H263" s="668"/>
      <c r="I263" s="668"/>
      <c r="J263" s="668"/>
      <c r="K263" s="668"/>
      <c r="L263" s="668"/>
      <c r="M263" s="668"/>
      <c r="N263" s="668"/>
    </row>
    <row r="264" spans="1:14" hidden="1" x14ac:dyDescent="0.2">
      <c r="A264" s="668"/>
      <c r="B264" s="668"/>
      <c r="C264" s="668"/>
      <c r="D264" s="668"/>
      <c r="E264" s="668"/>
      <c r="F264" s="668"/>
      <c r="G264" s="668"/>
      <c r="H264" s="668"/>
      <c r="I264" s="668"/>
      <c r="J264" s="668"/>
      <c r="K264" s="668"/>
      <c r="L264" s="668"/>
      <c r="M264" s="668"/>
      <c r="N264" s="668"/>
    </row>
    <row r="265" spans="1:14" hidden="1" x14ac:dyDescent="0.2">
      <c r="A265" s="668"/>
      <c r="B265" s="668"/>
      <c r="C265" s="668"/>
      <c r="D265" s="668"/>
      <c r="E265" s="668"/>
      <c r="F265" s="668"/>
      <c r="G265" s="668"/>
      <c r="H265" s="668"/>
      <c r="I265" s="668"/>
      <c r="J265" s="668"/>
      <c r="K265" s="668"/>
      <c r="L265" s="668"/>
      <c r="M265" s="668"/>
      <c r="N265" s="668"/>
    </row>
    <row r="266" spans="1:14" hidden="1" x14ac:dyDescent="0.2">
      <c r="A266" s="668"/>
      <c r="B266" s="668"/>
      <c r="C266" s="668"/>
      <c r="D266" s="668"/>
      <c r="E266" s="668"/>
      <c r="F266" s="668"/>
      <c r="G266" s="668"/>
      <c r="H266" s="668"/>
      <c r="I266" s="668"/>
      <c r="J266" s="668"/>
      <c r="K266" s="668"/>
      <c r="L266" s="668"/>
      <c r="M266" s="668"/>
      <c r="N266" s="668"/>
    </row>
    <row r="267" spans="1:14" hidden="1" x14ac:dyDescent="0.2">
      <c r="A267" s="668"/>
      <c r="B267" s="668"/>
      <c r="C267" s="668"/>
      <c r="D267" s="668"/>
      <c r="E267" s="668"/>
      <c r="F267" s="668"/>
      <c r="G267" s="668"/>
      <c r="H267" s="668"/>
      <c r="I267" s="668"/>
      <c r="J267" s="668"/>
      <c r="K267" s="668"/>
      <c r="L267" s="668"/>
      <c r="M267" s="668"/>
      <c r="N267" s="668"/>
    </row>
    <row r="268" spans="1:14" hidden="1" x14ac:dyDescent="0.2">
      <c r="A268" s="668"/>
      <c r="B268" s="668"/>
      <c r="C268" s="668"/>
      <c r="D268" s="668"/>
      <c r="E268" s="668"/>
      <c r="F268" s="668"/>
      <c r="G268" s="668"/>
      <c r="H268" s="668"/>
      <c r="I268" s="668"/>
      <c r="J268" s="668"/>
      <c r="K268" s="668"/>
      <c r="L268" s="668"/>
      <c r="M268" s="668"/>
      <c r="N268" s="668"/>
    </row>
    <row r="269" spans="1:14" hidden="1" x14ac:dyDescent="0.2">
      <c r="A269" s="668"/>
      <c r="B269" s="668"/>
      <c r="C269" s="668"/>
      <c r="D269" s="668"/>
      <c r="E269" s="668"/>
      <c r="F269" s="668"/>
      <c r="G269" s="668"/>
      <c r="H269" s="668"/>
      <c r="I269" s="668"/>
      <c r="J269" s="668"/>
      <c r="K269" s="668"/>
      <c r="L269" s="668"/>
      <c r="M269" s="668"/>
      <c r="N269" s="668"/>
    </row>
    <row r="270" spans="1:14" hidden="1" x14ac:dyDescent="0.2">
      <c r="A270" s="668"/>
      <c r="B270" s="668"/>
      <c r="C270" s="668"/>
      <c r="D270" s="668"/>
      <c r="E270" s="668"/>
      <c r="F270" s="668"/>
      <c r="G270" s="668"/>
      <c r="H270" s="668"/>
      <c r="I270" s="668"/>
      <c r="J270" s="668"/>
      <c r="K270" s="668"/>
      <c r="L270" s="668"/>
      <c r="M270" s="668"/>
      <c r="N270" s="668"/>
    </row>
    <row r="271" spans="1:14" hidden="1" x14ac:dyDescent="0.2">
      <c r="A271" s="668"/>
      <c r="B271" s="668"/>
      <c r="C271" s="668"/>
      <c r="D271" s="668"/>
      <c r="E271" s="668"/>
      <c r="F271" s="668"/>
      <c r="G271" s="668"/>
      <c r="H271" s="668"/>
      <c r="I271" s="668"/>
      <c r="J271" s="668"/>
      <c r="K271" s="668"/>
      <c r="L271" s="668"/>
      <c r="M271" s="668"/>
      <c r="N271" s="668"/>
    </row>
    <row r="272" spans="1:14" hidden="1" x14ac:dyDescent="0.2">
      <c r="A272" s="668"/>
      <c r="B272" s="668"/>
      <c r="C272" s="668"/>
      <c r="D272" s="668"/>
      <c r="E272" s="668"/>
      <c r="F272" s="668"/>
      <c r="G272" s="668"/>
      <c r="H272" s="668"/>
      <c r="I272" s="668"/>
      <c r="J272" s="668"/>
      <c r="K272" s="668"/>
      <c r="L272" s="668"/>
      <c r="M272" s="668"/>
      <c r="N272" s="668"/>
    </row>
    <row r="273" spans="1:14" hidden="1" x14ac:dyDescent="0.2">
      <c r="A273" s="668"/>
      <c r="B273" s="668"/>
      <c r="C273" s="668"/>
      <c r="D273" s="668"/>
      <c r="E273" s="668"/>
      <c r="F273" s="668"/>
      <c r="G273" s="668"/>
      <c r="H273" s="668"/>
      <c r="I273" s="668"/>
      <c r="J273" s="668"/>
      <c r="K273" s="668"/>
      <c r="L273" s="668"/>
      <c r="M273" s="668"/>
      <c r="N273" s="668"/>
    </row>
    <row r="274" spans="1:14" hidden="1" x14ac:dyDescent="0.2">
      <c r="A274" s="668"/>
      <c r="B274" s="668"/>
      <c r="C274" s="668"/>
      <c r="D274" s="668"/>
      <c r="E274" s="668"/>
      <c r="F274" s="668"/>
      <c r="G274" s="668"/>
      <c r="H274" s="668"/>
      <c r="I274" s="668"/>
      <c r="J274" s="668"/>
      <c r="K274" s="668"/>
      <c r="L274" s="668"/>
      <c r="M274" s="668"/>
      <c r="N274" s="668"/>
    </row>
    <row r="275" spans="1:14" hidden="1" x14ac:dyDescent="0.2">
      <c r="A275" s="668"/>
      <c r="B275" s="668"/>
      <c r="C275" s="668"/>
      <c r="D275" s="668"/>
      <c r="E275" s="668"/>
      <c r="F275" s="668"/>
      <c r="G275" s="668"/>
      <c r="H275" s="668"/>
      <c r="I275" s="668"/>
      <c r="J275" s="668"/>
      <c r="K275" s="668"/>
      <c r="L275" s="668"/>
      <c r="M275" s="668"/>
      <c r="N275" s="668"/>
    </row>
    <row r="276" spans="1:14" hidden="1" x14ac:dyDescent="0.2">
      <c r="A276" s="668"/>
      <c r="B276" s="668"/>
      <c r="C276" s="668"/>
      <c r="D276" s="668"/>
      <c r="E276" s="668"/>
      <c r="F276" s="668"/>
      <c r="G276" s="668"/>
      <c r="H276" s="668"/>
      <c r="I276" s="668"/>
      <c r="J276" s="668"/>
      <c r="K276" s="668"/>
      <c r="L276" s="668"/>
      <c r="M276" s="668"/>
      <c r="N276" s="668"/>
    </row>
    <row r="277" spans="1:14" hidden="1" x14ac:dyDescent="0.2">
      <c r="A277" s="668"/>
      <c r="B277" s="668"/>
      <c r="C277" s="668"/>
      <c r="D277" s="668"/>
      <c r="E277" s="668"/>
      <c r="F277" s="668"/>
      <c r="G277" s="668"/>
      <c r="H277" s="668"/>
      <c r="I277" s="668"/>
      <c r="J277" s="668"/>
      <c r="K277" s="668"/>
      <c r="L277" s="668"/>
      <c r="M277" s="668"/>
      <c r="N277" s="668"/>
    </row>
    <row r="278" spans="1:14" hidden="1" x14ac:dyDescent="0.2">
      <c r="A278" s="668"/>
      <c r="B278" s="668"/>
      <c r="C278" s="668"/>
      <c r="D278" s="668"/>
      <c r="E278" s="668"/>
      <c r="F278" s="668"/>
      <c r="G278" s="668"/>
      <c r="H278" s="668"/>
      <c r="I278" s="668"/>
      <c r="J278" s="668"/>
      <c r="K278" s="668"/>
      <c r="L278" s="668"/>
      <c r="M278" s="668"/>
      <c r="N278" s="668"/>
    </row>
    <row r="279" spans="1:14" hidden="1" x14ac:dyDescent="0.2">
      <c r="A279" s="668"/>
      <c r="B279" s="668"/>
      <c r="C279" s="668"/>
      <c r="D279" s="668"/>
      <c r="E279" s="668"/>
      <c r="F279" s="668"/>
      <c r="G279" s="668"/>
      <c r="H279" s="668"/>
      <c r="I279" s="668"/>
      <c r="J279" s="668"/>
      <c r="K279" s="668"/>
      <c r="L279" s="668"/>
      <c r="M279" s="668"/>
      <c r="N279" s="668"/>
    </row>
    <row r="280" spans="1:14" hidden="1" x14ac:dyDescent="0.2">
      <c r="A280" s="668"/>
      <c r="B280" s="668"/>
      <c r="C280" s="668"/>
      <c r="D280" s="668"/>
      <c r="E280" s="668"/>
      <c r="F280" s="668"/>
      <c r="G280" s="668"/>
      <c r="H280" s="668"/>
      <c r="I280" s="668"/>
      <c r="J280" s="668"/>
      <c r="K280" s="668"/>
      <c r="L280" s="668"/>
      <c r="M280" s="668"/>
      <c r="N280" s="668"/>
    </row>
    <row r="281" spans="1:14" hidden="1" x14ac:dyDescent="0.2">
      <c r="A281" s="668"/>
      <c r="B281" s="668"/>
      <c r="C281" s="668"/>
      <c r="D281" s="668"/>
      <c r="E281" s="668"/>
      <c r="F281" s="668"/>
      <c r="G281" s="668"/>
      <c r="H281" s="668"/>
      <c r="I281" s="668"/>
      <c r="J281" s="668"/>
      <c r="K281" s="668"/>
      <c r="L281" s="668"/>
      <c r="M281" s="668"/>
      <c r="N281" s="668"/>
    </row>
    <row r="282" spans="1:14" hidden="1" x14ac:dyDescent="0.2">
      <c r="A282" s="668"/>
      <c r="B282" s="668"/>
      <c r="C282" s="668"/>
      <c r="D282" s="668"/>
      <c r="E282" s="668"/>
      <c r="F282" s="668"/>
      <c r="G282" s="668"/>
      <c r="H282" s="668"/>
      <c r="I282" s="668"/>
      <c r="J282" s="668"/>
      <c r="K282" s="668"/>
      <c r="L282" s="668"/>
      <c r="M282" s="668"/>
      <c r="N282" s="668"/>
    </row>
    <row r="283" spans="1:14" hidden="1" x14ac:dyDescent="0.2">
      <c r="A283" s="668"/>
      <c r="B283" s="668"/>
      <c r="C283" s="668"/>
      <c r="D283" s="668"/>
      <c r="E283" s="668"/>
      <c r="F283" s="668"/>
      <c r="G283" s="668"/>
      <c r="H283" s="668"/>
      <c r="I283" s="668"/>
      <c r="J283" s="668"/>
      <c r="K283" s="668"/>
      <c r="L283" s="668"/>
      <c r="M283" s="668"/>
      <c r="N283" s="668"/>
    </row>
    <row r="284" spans="1:14" hidden="1" x14ac:dyDescent="0.2">
      <c r="A284" s="668"/>
      <c r="B284" s="668"/>
      <c r="C284" s="668"/>
      <c r="D284" s="668"/>
      <c r="E284" s="668"/>
      <c r="F284" s="668"/>
      <c r="G284" s="668"/>
      <c r="H284" s="668"/>
      <c r="I284" s="668"/>
      <c r="J284" s="668"/>
      <c r="K284" s="668"/>
      <c r="L284" s="668"/>
      <c r="M284" s="668"/>
      <c r="N284" s="668"/>
    </row>
    <row r="285" spans="1:14" hidden="1" x14ac:dyDescent="0.2">
      <c r="A285" s="668"/>
      <c r="B285" s="668"/>
      <c r="C285" s="668"/>
      <c r="D285" s="668"/>
      <c r="E285" s="668"/>
      <c r="F285" s="668"/>
      <c r="G285" s="668"/>
      <c r="H285" s="668"/>
      <c r="I285" s="668"/>
      <c r="J285" s="668"/>
      <c r="K285" s="668"/>
      <c r="L285" s="668"/>
      <c r="M285" s="668"/>
      <c r="N285" s="668"/>
    </row>
    <row r="286" spans="1:14" hidden="1" x14ac:dyDescent="0.2">
      <c r="A286" s="668"/>
      <c r="B286" s="668"/>
      <c r="C286" s="668"/>
      <c r="D286" s="668"/>
      <c r="E286" s="668"/>
      <c r="F286" s="668"/>
      <c r="G286" s="668"/>
      <c r="H286" s="668"/>
      <c r="I286" s="668"/>
      <c r="J286" s="668"/>
      <c r="K286" s="668"/>
      <c r="L286" s="668"/>
      <c r="M286" s="668"/>
      <c r="N286" s="668"/>
    </row>
    <row r="287" spans="1:14" hidden="1" x14ac:dyDescent="0.2">
      <c r="A287" s="668"/>
      <c r="B287" s="668"/>
      <c r="C287" s="668"/>
      <c r="D287" s="668"/>
      <c r="E287" s="668"/>
      <c r="F287" s="668"/>
      <c r="G287" s="668"/>
      <c r="H287" s="668"/>
      <c r="I287" s="668"/>
      <c r="J287" s="668"/>
      <c r="K287" s="668"/>
      <c r="L287" s="668"/>
      <c r="M287" s="668"/>
      <c r="N287" s="668"/>
    </row>
    <row r="288" spans="1:14" hidden="1" x14ac:dyDescent="0.2">
      <c r="A288" s="668"/>
      <c r="B288" s="668"/>
      <c r="C288" s="668"/>
      <c r="D288" s="668"/>
      <c r="E288" s="668"/>
      <c r="F288" s="668"/>
      <c r="G288" s="668"/>
      <c r="H288" s="668"/>
      <c r="I288" s="668"/>
      <c r="J288" s="668"/>
      <c r="K288" s="668"/>
      <c r="L288" s="668"/>
      <c r="M288" s="668"/>
      <c r="N288" s="668"/>
    </row>
    <row r="289" spans="1:14" hidden="1" x14ac:dyDescent="0.2">
      <c r="A289" s="668"/>
      <c r="B289" s="668"/>
      <c r="C289" s="668"/>
      <c r="D289" s="668"/>
      <c r="E289" s="668"/>
      <c r="F289" s="668"/>
      <c r="G289" s="668"/>
      <c r="H289" s="668"/>
      <c r="I289" s="668"/>
      <c r="J289" s="668"/>
      <c r="K289" s="668"/>
      <c r="L289" s="668"/>
      <c r="M289" s="668"/>
      <c r="N289" s="668"/>
    </row>
    <row r="290" spans="1:14" hidden="1" x14ac:dyDescent="0.2">
      <c r="A290" s="668"/>
      <c r="B290" s="668"/>
      <c r="C290" s="668"/>
      <c r="D290" s="668"/>
      <c r="E290" s="668"/>
      <c r="F290" s="668"/>
      <c r="G290" s="668"/>
      <c r="H290" s="668"/>
      <c r="I290" s="668"/>
      <c r="J290" s="668"/>
      <c r="K290" s="668"/>
      <c r="L290" s="668"/>
      <c r="M290" s="668"/>
      <c r="N290" s="668"/>
    </row>
    <row r="291" spans="1:14" hidden="1" x14ac:dyDescent="0.2">
      <c r="A291" s="668"/>
      <c r="B291" s="668"/>
      <c r="C291" s="668"/>
      <c r="D291" s="668"/>
      <c r="E291" s="668"/>
      <c r="F291" s="668"/>
      <c r="G291" s="668"/>
      <c r="H291" s="668"/>
      <c r="I291" s="668"/>
      <c r="J291" s="668"/>
      <c r="K291" s="668"/>
      <c r="L291" s="668"/>
      <c r="M291" s="668"/>
      <c r="N291" s="668"/>
    </row>
    <row r="292" spans="1:14" hidden="1" x14ac:dyDescent="0.2">
      <c r="A292" s="668"/>
      <c r="B292" s="668"/>
      <c r="C292" s="668"/>
      <c r="D292" s="668"/>
      <c r="E292" s="668"/>
      <c r="F292" s="668"/>
      <c r="G292" s="668"/>
      <c r="H292" s="668"/>
      <c r="I292" s="668"/>
      <c r="J292" s="668"/>
      <c r="K292" s="668"/>
      <c r="L292" s="668"/>
      <c r="M292" s="668"/>
      <c r="N292" s="668"/>
    </row>
    <row r="293" spans="1:14" hidden="1" x14ac:dyDescent="0.2">
      <c r="A293" s="668"/>
      <c r="B293" s="668"/>
      <c r="C293" s="668"/>
      <c r="D293" s="668"/>
      <c r="E293" s="668"/>
      <c r="F293" s="668"/>
      <c r="G293" s="668"/>
      <c r="H293" s="668"/>
      <c r="I293" s="668"/>
      <c r="J293" s="668"/>
      <c r="K293" s="668"/>
      <c r="L293" s="668"/>
      <c r="M293" s="668"/>
      <c r="N293" s="668"/>
    </row>
    <row r="294" spans="1:14" hidden="1" x14ac:dyDescent="0.2">
      <c r="A294" s="668"/>
      <c r="B294" s="668"/>
      <c r="C294" s="668"/>
      <c r="D294" s="668"/>
      <c r="E294" s="668"/>
      <c r="F294" s="668"/>
      <c r="G294" s="668"/>
      <c r="H294" s="668"/>
      <c r="I294" s="668"/>
      <c r="J294" s="668"/>
      <c r="K294" s="668"/>
      <c r="L294" s="668"/>
      <c r="M294" s="668"/>
      <c r="N294" s="668"/>
    </row>
    <row r="295" spans="1:14" hidden="1" x14ac:dyDescent="0.2">
      <c r="A295" s="668"/>
      <c r="B295" s="668"/>
      <c r="C295" s="668"/>
      <c r="D295" s="668"/>
      <c r="E295" s="668"/>
      <c r="F295" s="668"/>
      <c r="G295" s="668"/>
      <c r="H295" s="668"/>
      <c r="I295" s="668"/>
      <c r="J295" s="668"/>
      <c r="K295" s="668"/>
      <c r="L295" s="668"/>
      <c r="M295" s="668"/>
      <c r="N295" s="668"/>
    </row>
    <row r="296" spans="1:14" hidden="1" x14ac:dyDescent="0.2">
      <c r="A296" s="668"/>
      <c r="B296" s="668"/>
      <c r="C296" s="668"/>
      <c r="D296" s="668"/>
      <c r="E296" s="668"/>
      <c r="F296" s="668"/>
      <c r="G296" s="668"/>
      <c r="H296" s="668"/>
      <c r="I296" s="668"/>
      <c r="J296" s="668"/>
      <c r="K296" s="668"/>
      <c r="L296" s="668"/>
      <c r="M296" s="668"/>
      <c r="N296" s="668"/>
    </row>
    <row r="297" spans="1:14" hidden="1" x14ac:dyDescent="0.2">
      <c r="A297" s="668"/>
      <c r="B297" s="668"/>
      <c r="C297" s="668"/>
      <c r="D297" s="668"/>
      <c r="E297" s="668"/>
      <c r="F297" s="668"/>
      <c r="G297" s="668"/>
      <c r="H297" s="668"/>
      <c r="I297" s="668"/>
      <c r="J297" s="668"/>
      <c r="K297" s="668"/>
      <c r="L297" s="668"/>
      <c r="M297" s="668"/>
      <c r="N297" s="668"/>
    </row>
    <row r="298" spans="1:14" x14ac:dyDescent="0.2">
      <c r="A298" s="32"/>
      <c r="B298" s="32"/>
      <c r="C298" s="32"/>
      <c r="D298" s="32"/>
      <c r="E298" s="32"/>
      <c r="F298" s="32"/>
      <c r="G298" s="32"/>
      <c r="H298" s="32"/>
      <c r="I298" s="32"/>
    </row>
    <row r="299" spans="1:14" x14ac:dyDescent="0.2">
      <c r="A299" s="32"/>
      <c r="B299" s="32"/>
      <c r="C299" s="278" t="s">
        <v>190</v>
      </c>
      <c r="D299" s="32"/>
      <c r="E299" s="32"/>
      <c r="F299" s="32"/>
      <c r="G299" s="32"/>
      <c r="H299" s="32"/>
      <c r="I299" s="32"/>
    </row>
    <row r="300" spans="1:14" x14ac:dyDescent="0.2">
      <c r="A300" s="182">
        <v>1</v>
      </c>
      <c r="B300" s="589" t="str">
        <f t="shared" ref="B300:B307" si="0">IFERROR(INDEX(H$100:H$300,MATCH(A300&amp;". koht",H$101:H$301,0)),"")</f>
        <v>Aigi Orro, Kalle Orro</v>
      </c>
      <c r="C300" s="55">
        <v>40</v>
      </c>
      <c r="F300" s="32"/>
      <c r="G300" s="32"/>
      <c r="I300" s="32"/>
    </row>
    <row r="301" spans="1:14" x14ac:dyDescent="0.2">
      <c r="A301" s="182">
        <v>2</v>
      </c>
      <c r="B301" s="590" t="str">
        <f t="shared" si="0"/>
        <v>Ivar Viljaste, Sirje Viljaste</v>
      </c>
      <c r="C301" s="55">
        <v>34</v>
      </c>
      <c r="F301" s="32"/>
      <c r="G301" s="32"/>
      <c r="I301" s="32"/>
    </row>
    <row r="302" spans="1:14" x14ac:dyDescent="0.2">
      <c r="A302" s="182">
        <v>3</v>
      </c>
      <c r="B302" s="591" t="str">
        <f t="shared" si="0"/>
        <v>Jaan Sepp, Oskar Sepp</v>
      </c>
      <c r="C302" s="55">
        <v>30</v>
      </c>
      <c r="F302" s="32"/>
      <c r="G302" s="32"/>
      <c r="I302" s="32"/>
    </row>
    <row r="303" spans="1:14" x14ac:dyDescent="0.2">
      <c r="A303" s="182">
        <v>4</v>
      </c>
      <c r="B303" s="175" t="str">
        <f t="shared" si="0"/>
        <v>Janek Tarto, Kristo Viljaste</v>
      </c>
      <c r="C303" s="55">
        <v>26</v>
      </c>
      <c r="F303" s="32"/>
      <c r="G303" s="32"/>
      <c r="I303" s="32"/>
    </row>
    <row r="304" spans="1:14" x14ac:dyDescent="0.2">
      <c r="A304" s="182">
        <v>5</v>
      </c>
      <c r="B304" s="175" t="str">
        <f t="shared" si="0"/>
        <v>Mait Metsla, Matti Vinni</v>
      </c>
      <c r="C304" s="32">
        <v>24</v>
      </c>
      <c r="F304" s="32"/>
      <c r="G304" s="32"/>
      <c r="I304" s="32"/>
    </row>
    <row r="305" spans="1:9" x14ac:dyDescent="0.2">
      <c r="A305" s="182">
        <v>6</v>
      </c>
      <c r="B305" s="175" t="str">
        <f t="shared" si="0"/>
        <v>Andrei Grintšak, Boriss Klubov</v>
      </c>
      <c r="C305" s="32">
        <v>22</v>
      </c>
      <c r="F305" s="32"/>
      <c r="G305" s="32"/>
      <c r="I305" s="32"/>
    </row>
    <row r="306" spans="1:9" x14ac:dyDescent="0.2">
      <c r="A306" s="182">
        <v>7</v>
      </c>
      <c r="B306" s="175" t="str">
        <f t="shared" si="0"/>
        <v>Oksana Sažina, Oleg Rõndenkov</v>
      </c>
      <c r="C306" s="32">
        <v>20</v>
      </c>
      <c r="F306" s="32"/>
      <c r="G306" s="32"/>
      <c r="I306" s="32"/>
    </row>
    <row r="307" spans="1:9" x14ac:dyDescent="0.2">
      <c r="A307" s="182">
        <v>8</v>
      </c>
      <c r="B307" s="175" t="str">
        <f t="shared" si="0"/>
        <v>Elmo Lageda, Tõnu Piik</v>
      </c>
      <c r="C307" s="32">
        <v>18</v>
      </c>
      <c r="F307" s="32"/>
      <c r="G307" s="32"/>
      <c r="I307" s="32"/>
    </row>
  </sheetData>
  <mergeCells count="4">
    <mergeCell ref="C8:D8"/>
    <mergeCell ref="E8:F8"/>
    <mergeCell ref="G8:H8"/>
    <mergeCell ref="I8:J8"/>
  </mergeCells>
  <conditionalFormatting sqref="G107 G109">
    <cfRule type="containsBlanks" dxfId="1828" priority="117">
      <formula>LEN(TRIM(G107))=0</formula>
    </cfRule>
  </conditionalFormatting>
  <conditionalFormatting sqref="G107 G109">
    <cfRule type="aboveAverage" dxfId="1827" priority="118"/>
  </conditionalFormatting>
  <conditionalFormatting sqref="B300:B307">
    <cfRule type="containsBlanks" dxfId="1826" priority="2961">
      <formula>LEN(TRIM(B300))=0</formula>
    </cfRule>
    <cfRule type="duplicateValues" dxfId="1825" priority="2962"/>
  </conditionalFormatting>
  <conditionalFormatting sqref="A300:A307">
    <cfRule type="duplicateValues" dxfId="1824" priority="2963"/>
  </conditionalFormatting>
  <conditionalFormatting sqref="G101 G103">
    <cfRule type="containsBlanks" dxfId="1823" priority="9">
      <formula>LEN(TRIM(G101))=0</formula>
    </cfRule>
  </conditionalFormatting>
  <conditionalFormatting sqref="G101 G103">
    <cfRule type="aboveAverage" dxfId="1822" priority="10"/>
  </conditionalFormatting>
  <conditionalFormatting sqref="G119 G121">
    <cfRule type="containsBlanks" dxfId="1821" priority="3">
      <formula>LEN(TRIM(G119))=0</formula>
    </cfRule>
  </conditionalFormatting>
  <conditionalFormatting sqref="G113 G115">
    <cfRule type="containsBlanks" dxfId="1820" priority="1">
      <formula>LEN(TRIM(G113))=0</formula>
    </cfRule>
  </conditionalFormatting>
  <conditionalFormatting sqref="G115">
    <cfRule type="aboveAverage" dxfId="1819" priority="2964"/>
  </conditionalFormatting>
  <conditionalFormatting sqref="G119 G121">
    <cfRule type="aboveAverage" dxfId="1818" priority="4"/>
  </conditionalFormatting>
  <conditionalFormatting sqref="G113">
    <cfRule type="aboveAverage" dxfId="1817" priority="2"/>
  </conditionalFormatting>
  <pageMargins left="0.59055118110236227" right="0.27559055118110237" top="0.59055118110236227" bottom="0.31496062992125984" header="0.39370078740157483" footer="0"/>
  <pageSetup paperSize="9" fitToHeight="0" orientation="portrait" horizontalDpi="1200" verticalDpi="1200" r:id="rId1"/>
  <headerFooter>
    <oddHeader>&amp;R&amp;"Arial,Regular"&amp;9Page &amp;P of &amp;N</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F0"/>
    <pageSetUpPr fitToPage="1"/>
  </sheetPr>
  <dimension ref="A1:N319"/>
  <sheetViews>
    <sheetView showGridLines="0" showRowColHeaders="0" zoomScaleNormal="100" workbookViewId="0">
      <pane ySplit="2" topLeftCell="A3" activePane="bottomLeft" state="frozen"/>
      <selection activeCell="K1" sqref="K1"/>
      <selection pane="bottomLeft" activeCell="L1" sqref="L1"/>
    </sheetView>
  </sheetViews>
  <sheetFormatPr defaultRowHeight="12.75" x14ac:dyDescent="0.2"/>
  <cols>
    <col min="1" max="1" width="5.5703125" style="277" customWidth="1"/>
    <col min="2" max="2" width="18.7109375" style="277" bestFit="1" customWidth="1"/>
    <col min="3" max="9" width="6.7109375" style="277" customWidth="1"/>
    <col min="10" max="10" width="6.7109375" style="277" hidden="1" customWidth="1"/>
    <col min="11" max="12" width="4.7109375" style="277" customWidth="1"/>
    <col min="13" max="13" width="6.7109375" style="277" hidden="1" customWidth="1"/>
    <col min="14" max="16384" width="9.140625" style="277"/>
  </cols>
  <sheetData>
    <row r="1" spans="1:14" x14ac:dyDescent="0.2">
      <c r="A1" s="31" t="str">
        <f>UPPER((Kalend!E38)&amp;" - "&amp;(Kalend!C38)&amp;" - "&amp;(Kalend!D38))</f>
        <v>10 - IDA-VIRUMAA MV - ÜKSIK</v>
      </c>
      <c r="G1" s="495" t="str">
        <f>HYPERLINK("#'Kalend'!I1","Kalender")</f>
        <v>Kalender</v>
      </c>
      <c r="I1" s="1365" t="str">
        <f>HYPERLINK("#'Reit'!T1","Reiting")</f>
        <v>Reiting</v>
      </c>
      <c r="M1" s="497"/>
    </row>
    <row r="2" spans="1:14" x14ac:dyDescent="0.2">
      <c r="A2" s="2" t="str">
        <f>"Toimumisaeg: "&amp;(Kalend!A38)&amp;" kell "&amp;(Kalend!B38)</f>
        <v>Toimumisaeg: E, 20.08.2018 kell 11:00</v>
      </c>
    </row>
    <row r="3" spans="1:14" x14ac:dyDescent="0.2">
      <c r="A3" s="2" t="str">
        <f>"Toimumiskoht: "&amp;(Kalend!F38)</f>
        <v>Toimumiskoht: Voka staadion</v>
      </c>
    </row>
    <row r="4" spans="1:14" x14ac:dyDescent="0.2">
      <c r="A4" s="2" t="str">
        <f>"Korraldaja: "&amp;(Kalend!G38)</f>
        <v>Korraldaja: K-Järve SHK, Ivar Viljaste</v>
      </c>
    </row>
    <row r="5" spans="1:14" x14ac:dyDescent="0.2">
      <c r="A5" s="55"/>
      <c r="B5" s="55"/>
      <c r="C5" s="55"/>
      <c r="D5" s="55"/>
      <c r="E5" s="55"/>
      <c r="F5" s="55"/>
      <c r="G5" s="55"/>
      <c r="H5" s="55"/>
    </row>
    <row r="6" spans="1:14" s="506" customFormat="1" x14ac:dyDescent="0.2">
      <c r="A6" s="500" t="s">
        <v>140</v>
      </c>
      <c r="B6" s="501"/>
      <c r="C6" s="502">
        <v>1</v>
      </c>
      <c r="D6" s="502">
        <v>2</v>
      </c>
      <c r="E6" s="502">
        <v>3</v>
      </c>
      <c r="F6" s="502">
        <v>4</v>
      </c>
      <c r="G6" s="502">
        <v>5</v>
      </c>
      <c r="H6" s="502" t="s">
        <v>363</v>
      </c>
      <c r="I6" s="501" t="s">
        <v>26</v>
      </c>
      <c r="J6" s="503" t="s">
        <v>156</v>
      </c>
      <c r="K6" s="504" t="s">
        <v>156</v>
      </c>
      <c r="L6" s="505" t="s">
        <v>364</v>
      </c>
      <c r="M6" s="506" t="b">
        <f>OR(AND(COUNTA(B7:B11)=3,COUNTA(C7:G11)=6),AND(COUNTA(B7:B11)=4,COUNTA(C7:G11)=12),AND(COUNTA(B7:B11)=5,COUNTA(C7:G11)=20))</f>
        <v>1</v>
      </c>
      <c r="N6" s="668"/>
    </row>
    <row r="7" spans="1:14" s="506" customFormat="1" x14ac:dyDescent="0.2">
      <c r="A7" s="500">
        <v>1</v>
      </c>
      <c r="B7" s="508" t="s">
        <v>89</v>
      </c>
      <c r="C7" s="509"/>
      <c r="D7" s="510">
        <v>13</v>
      </c>
      <c r="E7" s="510">
        <v>13</v>
      </c>
      <c r="F7" s="510">
        <v>13</v>
      </c>
      <c r="G7" s="510">
        <v>13</v>
      </c>
      <c r="H7" s="511" t="str">
        <f>(IF(D7-C8&gt;0,1)+IF(E7-C9&gt;0,1)+IF(F7-C10&gt;0,1)+IF(G7-C11&gt;0,1))&amp;"-"&amp;(IF(D7-C8&lt;0,1)+IF(E7-C9&lt;0,1)+IF(F7-C10&lt;0,1)+IF(G7-C11&lt;0,1))</f>
        <v>4-0</v>
      </c>
      <c r="I7" s="510" t="str">
        <f>IF(AND(B7&lt;&gt;"",M$6=TRUE),A$6&amp;RANK(M7,M$7:M$11,0),"")</f>
        <v>A1</v>
      </c>
      <c r="J7" s="512">
        <f>VALUE(LEFT(H7,1))</f>
        <v>4</v>
      </c>
      <c r="K7" s="513">
        <f>IF(AND(J7=1,J8=1,D7&gt;C8),1)+IF(AND(J7=1,J9=1,E7&gt;C9),1)+IF(AND(J7=1,J10=1,F7&gt;C10),1)+IF(AND(J7=1,J11=1,G7&gt;C11),1)+IF(AND(J7=2,J8=2,D7&gt;C8),1)+IF(AND(J7=2,J9=2,E7&gt;C9),1)+IF(AND(J7=2,J10=2,F7&gt;C10),1)+IF(AND(J7=2,J11=2,G7&gt;C11),1)+IF(AND(J7=3,J8=3,D7&gt;C8),1)+IF(AND(J7=3,J9=3,E7&gt;C9),1)+IF(AND(J7=3,J10=3,F7&gt;C10),1)+IF(AND(J7=3,J11=3,G7&gt;C11),1)</f>
        <v>0</v>
      </c>
      <c r="L7" s="1305">
        <f>IF(AND(J7=1,J8=1),D7-C8)+IF(AND(J7=1,J9=1),E7-C9)+IF(AND(J7=1,J10=1),F7-C10)+IF(AND(J7=1,J11=1),G7-C11)+IF(AND(J7=2,J8=2),D7-C8)+IF(AND(J7=2,J9=2),E7-C9)+IF(AND(J7=2,J10=2),F7-C10)+IF(AND(J7=2,J11=2),G7-C11)+IF(AND(J7=3,J8=3),D7-C8)+IF(AND(J7=3,J9=3),E7-C9)+IF(AND(J7=3,J10=3),F7-C10)+IF(AND(J7=3,J11=3),G7-C11)</f>
        <v>0</v>
      </c>
      <c r="M7" s="515">
        <f>10000*J7+K7*100+L7</f>
        <v>40000</v>
      </c>
      <c r="N7" s="668"/>
    </row>
    <row r="8" spans="1:14" s="506" customFormat="1" x14ac:dyDescent="0.2">
      <c r="A8" s="500">
        <v>2</v>
      </c>
      <c r="B8" s="518" t="s">
        <v>91</v>
      </c>
      <c r="C8" s="510">
        <v>11</v>
      </c>
      <c r="D8" s="509"/>
      <c r="E8" s="851">
        <v>9</v>
      </c>
      <c r="F8" s="510">
        <v>13</v>
      </c>
      <c r="G8" s="851">
        <v>13</v>
      </c>
      <c r="H8" s="511" t="str">
        <f>(IF(C8-D7&gt;0,1)+IF(E8-D9&gt;0,1)+IF(F8-D10&gt;0,1)+IF(G8-D11&gt;0,1))&amp;"-"&amp;(IF(C8-D7&lt;0,1)+IF(E8-D9&lt;0,1)+IF(F8-D10&lt;0,1)+IF(G8-D11&lt;0,1))</f>
        <v>2-2</v>
      </c>
      <c r="I8" s="510" t="str">
        <f>IF(AND(B8&lt;&gt;"",M$6=TRUE),A$6&amp;RANK(M8,M$7:M$11,0),"")</f>
        <v>A4</v>
      </c>
      <c r="J8" s="512">
        <f t="shared" ref="J8:J11" si="0">VALUE(LEFT(H8,1))</f>
        <v>2</v>
      </c>
      <c r="K8" s="639">
        <f>IF(AND(J8=1,J7=1,C8&gt;D7),1)+IF(AND(J8=1,J9=1,E8&gt;D9),1)+IF(AND(J8=1,J10=1,F8&gt;D10),1)+IF(AND(J8=1,J11=1,G8&gt;D11),1)+IF(AND(J8=2,J7=2,C8&gt;D7),1)+IF(AND(J8=2,J9=2,E8&gt;D9),1)+IF(AND(J8=2,J10=2,F8&gt;D10),1)+IF(AND(J8=2,J11=2,G8&gt;D11),1)+IF(AND(J8=3,J7=3,C8&gt;D7),1)+IF(AND(J8=3,J9=3,E8&gt;D9),1)+IF(AND(J8=3,J10=3,F8&gt;D10),1)+IF(AND(J8=3,J11=3,G8&gt;D11),1)</f>
        <v>1</v>
      </c>
      <c r="L8" s="1305">
        <f>IF(AND(J8=1,J7=1),C8-D7)+IF(AND(J8=1,J9=1),E8-D9)+IF(AND(J8=1,J10=1),F8-D10)+IF(AND(J8=1,J11=1),G8-D11)+IF(AND(J8=2,J7=2),C8-D7)+IF(AND(J8=2,J9=2),E8-D9)+IF(AND(J8=2,J10=2),F8-D10)+IF(AND(J8=2,J11=2),G8-D11)+IF(AND(J8=3,J7=3),C8-D7)+IF(AND(J8=3,J9=3),E8-D9)+IF(AND(J8=3,J10=3),F8-D10)+IF(AND(J8=3,J11=3),G8-D11)</f>
        <v>-1</v>
      </c>
      <c r="M8" s="515">
        <f t="shared" ref="M8:M11" si="1">10000*J8+K8*100+L8</f>
        <v>20099</v>
      </c>
      <c r="N8" s="668"/>
    </row>
    <row r="9" spans="1:14" s="506" customFormat="1" x14ac:dyDescent="0.2">
      <c r="A9" s="500">
        <v>3</v>
      </c>
      <c r="B9" s="518" t="s">
        <v>103</v>
      </c>
      <c r="C9" s="510">
        <v>4</v>
      </c>
      <c r="D9" s="854">
        <v>13</v>
      </c>
      <c r="E9" s="509"/>
      <c r="F9" s="510">
        <v>13</v>
      </c>
      <c r="G9" s="851">
        <v>9</v>
      </c>
      <c r="H9" s="511" t="str">
        <f>(IF(C9-E7&gt;0,1)+IF(D9-E8&gt;0,1)+IF(F9-E10&gt;0,1)+IF(G9-E11&gt;0,1))&amp;"-"&amp;(IF(C9-E7&lt;0,1)+IF(D9-E8&lt;0,1)+IF(F9-E10&lt;0,1)+IF(G9-E11&lt;0,1))</f>
        <v>2-2</v>
      </c>
      <c r="I9" s="510" t="str">
        <f>IF(AND(B9&lt;&gt;"",M$6=TRUE),A$6&amp;RANK(M9,M$7:M$11,0),"")</f>
        <v>A3</v>
      </c>
      <c r="J9" s="512">
        <f t="shared" si="0"/>
        <v>2</v>
      </c>
      <c r="K9" s="639">
        <f>IF(AND(J9=1,J7=1,C9&gt;E7),1)+IF(AND(J9=1,J8=1,D9&gt;E8),1)+IF(AND(J9=1,J10=1,F9&gt;E10),1)+IF(AND(J9=1,J11=1,G9&gt;E11),1)+IF(AND(J9=2,J7=2,C9&gt;E7),1)+IF(AND(J9=2,J8=2,D9&gt;E8),1)+IF(AND(J9=2,J10=2,F9&gt;E10),1)+IF(AND(J9=2,J11=2,G9&gt;E11),1)+IF(AND(J9=3,J7=3,C9&gt;E7),1)+IF(AND(J9=3,J8=3,D9&gt;E8),1)+IF(AND(J9=3,J10=3,F9&gt;E10),1)+IF(AND(J9=3,J11=3,G9&gt;E11),1)</f>
        <v>1</v>
      </c>
      <c r="L9" s="1305">
        <f>IF(AND(J9=1,J7=1),C9-E7)+IF(AND(J9=1,J8=1),D9-E8)+IF(AND(J9=1,J10=1),F9-E10)+IF(AND(J9=1,J11=1),G9-E11)+IF(AND(J9=2,J7=2),C9-E7)+IF(AND(J9=2,J8=2),D9-E8)+IF(AND(J9=2,J10=2),F9-E10)+IF(AND(J9=2,J11=2),G9-E11)+IF(AND(J9=3,J7=3),C9-E7)+IF(AND(J9=3,J8=3),D9-E8)+IF(AND(J9=3,J10=3),F9-E10)+IF(AND(J9=3,J11=3),G9-E11)</f>
        <v>0</v>
      </c>
      <c r="M9" s="515">
        <f t="shared" si="1"/>
        <v>20100</v>
      </c>
      <c r="N9" s="668"/>
    </row>
    <row r="10" spans="1:14" s="506" customFormat="1" x14ac:dyDescent="0.2">
      <c r="A10" s="500">
        <v>4</v>
      </c>
      <c r="B10" s="521" t="s">
        <v>116</v>
      </c>
      <c r="C10" s="510">
        <v>7</v>
      </c>
      <c r="D10" s="520">
        <v>7</v>
      </c>
      <c r="E10" s="510">
        <v>6</v>
      </c>
      <c r="F10" s="509"/>
      <c r="G10" s="522">
        <v>6</v>
      </c>
      <c r="H10" s="511" t="str">
        <f>(IF(C10-F7&gt;0,1)+IF(D10-F8&gt;0,1)+IF(E10-F9&gt;0,1)+IF(G10-F11&gt;0,1))&amp;"-"&amp;(IF(C10-F7&lt;0,1)+IF(D10-F8&lt;0,1)+IF(E10-F9&lt;0,1)+IF(G10-F11&lt;0,1))</f>
        <v>0-4</v>
      </c>
      <c r="I10" s="510" t="str">
        <f>IF(AND(B10&lt;&gt;"",M$6=TRUE),A$6&amp;RANK(M10,M$7:M$11,0),"")</f>
        <v>A5</v>
      </c>
      <c r="J10" s="512">
        <f t="shared" si="0"/>
        <v>0</v>
      </c>
      <c r="K10" s="639">
        <f>IF(AND(J10=1,J7=1,C10&gt;F7),1)+IF(AND(J10=1,J8=1,D10&gt;F8),1)+IF(AND(J10=1,J9=1,E10&gt;F9),1)+IF(AND(J10=1,J11=1,G10&gt;F11),1)+IF(AND(J10=2,J7=2,C10&gt;F7),1)+IF(AND(J10=2,J8=2,D10&gt;F8),1)+IF(AND(J10=2,J9=2,E10&gt;F9),1)+IF(AND(J10=2,J11=2,G10&gt;F11),1)+IF(AND(J10=3,J7=3,C10&gt;F7),1)+IF(AND(J10=3,J8=3,D10&gt;F8),1)+IF(AND(J10=3,J9=3,E10&gt;F9),1)+IF(AND(J10=3,J11=3,G10&gt;F11),1)</f>
        <v>0</v>
      </c>
      <c r="L10" s="1305">
        <f>IF(AND(J10=1,J7=1),C10-F7)+IF(AND(J10=1,J8=1),D10-F8)+IF(AND(J10=1,J9=1),E10-F9)+IF(AND(J10=1,J11=1),G10-F11)+IF(AND(J10=2,J7=2),C10-F7)+IF(AND(J10=2,J8=2),D10-F8)+IF(AND(J10=2,J9=2),E10-F9)+IF(AND(J10=2,J11=2),G10-F11)+IF(AND(J10=3,J7=3),C10-F7)+IF(AND(J10=3,J8=3),D10-F8)+IF(AND(J10=3,J9=3),E10-F9)+IF(AND(J10=3,J11=3),G10-F11)</f>
        <v>0</v>
      </c>
      <c r="M10" s="515">
        <f t="shared" si="1"/>
        <v>0</v>
      </c>
      <c r="N10" s="668"/>
    </row>
    <row r="11" spans="1:14" s="506" customFormat="1" x14ac:dyDescent="0.2">
      <c r="A11" s="500">
        <v>5</v>
      </c>
      <c r="B11" s="521" t="s">
        <v>115</v>
      </c>
      <c r="C11" s="510">
        <v>11</v>
      </c>
      <c r="D11" s="851">
        <v>10</v>
      </c>
      <c r="E11" s="851">
        <v>13</v>
      </c>
      <c r="F11" s="510">
        <v>13</v>
      </c>
      <c r="G11" s="509"/>
      <c r="H11" s="511" t="str">
        <f>(IF(C11-G7&gt;0,1)+IF(D11-G8&gt;0,1)+IF(E11-G9&gt;0,1)+IF(F11-G10&gt;0,1))&amp;"-"&amp;(IF(C11-G7&lt;0,1)+IF(D11-G8&lt;0,1)+IF(E11-G9&lt;0,1)+IF(F11-G10&lt;0,1))</f>
        <v>2-2</v>
      </c>
      <c r="I11" s="510" t="str">
        <f>IF(AND(B11&lt;&gt;"",M$6=TRUE),A$6&amp;RANK(M11,M$7:M$11,0),"")</f>
        <v>A2</v>
      </c>
      <c r="J11" s="512">
        <f t="shared" si="0"/>
        <v>2</v>
      </c>
      <c r="K11" s="639">
        <f>IF(AND(J11=1,J7=1,C11&gt;G7),1)+IF(AND(J11=1,J8=1,D11&gt;G8),1)+IF(AND(J11=1,J9=1,E11&gt;G9),1)+IF(AND(J11=1,J10=1,F11&gt;G10),1)+IF(AND(J11=2,J7=2,C11&gt;G7),1)+IF(AND(J11=2,J8=2,D11&gt;G8),1)+IF(AND(J11=2,J9=2,E11&gt;G9),1)+IF(AND(J11=2,J10=2,F11&gt;G10),1)+IF(AND(J11=3,J7=3,C11&gt;G7),1)+IF(AND(J11=3,J8=3,D11&gt;G8),1)+IF(AND(J11=3,J9=3,E11&gt;G9),1)+IF(AND(J11=3,J10=3,F11&gt;G10),1)</f>
        <v>1</v>
      </c>
      <c r="L11" s="1305">
        <f>IF(AND(J11=1,J7=1),C11-G7)+IF(AND(J11=1,J8=1),D11-G8)+IF(AND(J11=1,J9=1),E11-G9)+IF(AND(J11=1,J10=1),F11-G10)+IF(AND(J11=2,J7=2),C11-G7)+IF(AND(J11=2,J8=2),D11-G8)+IF(AND(J11=2,J9=2),E11-G9)+IF(AND(J11=2,J10=2),F11-G10)+IF(AND(J11=3,J7=3),C11-G7)+IF(AND(J11=3,J8=3),D11-G8)+IF(AND(J11=3,J9=3),E11-G9)+IF(AND(J11=3,J10=3),F11-G10)</f>
        <v>1</v>
      </c>
      <c r="M11" s="515">
        <f t="shared" si="1"/>
        <v>20101</v>
      </c>
      <c r="N11" s="668"/>
    </row>
    <row r="12" spans="1:14" s="506" customFormat="1" x14ac:dyDescent="0.2">
      <c r="A12" s="523"/>
      <c r="B12" s="524"/>
      <c r="C12" s="525"/>
      <c r="D12" s="526"/>
      <c r="E12" s="525"/>
      <c r="F12" s="527"/>
      <c r="H12" s="528"/>
      <c r="I12" s="529"/>
      <c r="J12" s="496"/>
      <c r="K12" s="530"/>
      <c r="L12" s="531"/>
      <c r="M12" s="496"/>
      <c r="N12" s="668"/>
    </row>
    <row r="13" spans="1:14" s="498" customFormat="1" x14ac:dyDescent="0.2">
      <c r="A13" s="500" t="s">
        <v>141</v>
      </c>
      <c r="B13" s="501"/>
      <c r="C13" s="502">
        <v>1</v>
      </c>
      <c r="D13" s="502">
        <v>2</v>
      </c>
      <c r="E13" s="502">
        <v>3</v>
      </c>
      <c r="F13" s="502">
        <v>4</v>
      </c>
      <c r="G13" s="502">
        <v>5</v>
      </c>
      <c r="H13" s="501" t="s">
        <v>363</v>
      </c>
      <c r="I13" s="501" t="s">
        <v>26</v>
      </c>
      <c r="J13" s="533" t="s">
        <v>156</v>
      </c>
      <c r="K13" s="504" t="s">
        <v>156</v>
      </c>
      <c r="L13" s="534" t="s">
        <v>364</v>
      </c>
      <c r="M13" s="535" t="b">
        <f>OR(AND(COUNTA(B14:B18)=3,COUNTA(C14:G18)=6),AND(COUNTA(B14:B18)=4,COUNTA(C14:G18)=12),AND(COUNTA(B14:B18)=5,COUNTA(C14:G18)=20))</f>
        <v>1</v>
      </c>
      <c r="N13" s="668"/>
    </row>
    <row r="14" spans="1:14" s="498" customFormat="1" x14ac:dyDescent="0.2">
      <c r="A14" s="500">
        <v>1</v>
      </c>
      <c r="B14" s="508" t="s">
        <v>96</v>
      </c>
      <c r="C14" s="509"/>
      <c r="D14" s="510">
        <v>10</v>
      </c>
      <c r="E14" s="851">
        <v>6</v>
      </c>
      <c r="F14" s="851">
        <v>13</v>
      </c>
      <c r="G14" s="510">
        <v>13</v>
      </c>
      <c r="H14" s="511" t="str">
        <f>(IF(D14-C15&gt;0,1)+IF(E14-C16&gt;0,1)+IF(F14-C17&gt;0,1)+IF(G14-C18&gt;0,1))&amp;"-"&amp;(IF(D14-C15&lt;0,1)+IF(E14-C16&lt;0,1)+IF(F14-C17&lt;0,1)+IF(G14-C18&lt;0,1))</f>
        <v>2-2</v>
      </c>
      <c r="I14" s="510" t="str">
        <f>IF(AND(B14&lt;&gt;"",M$13=TRUE),A$13&amp;RANK(M14,M$14:M$18,0),"")</f>
        <v>B3</v>
      </c>
      <c r="J14" s="512">
        <f>VALUE(LEFT(H14,1))</f>
        <v>2</v>
      </c>
      <c r="K14" s="513">
        <f>IF(AND(J14=1,J15=1,D14&gt;C15),1)+IF(AND(J14=1,J16=1,E14&gt;C16),1)+IF(AND(J14=1,J17=1,F14&gt;C17),1)+IF(AND(J14=1,J18=1,G14&gt;C18),1)+IF(AND(J14=2,J15=2,D14&gt;C15),1)+IF(AND(J14=2,J16=2,E14&gt;C16),1)+IF(AND(J14=2,J17=2,F14&gt;C17),1)+IF(AND(J14=2,J18=2,G14&gt;C18),1)+IF(AND(J14=3,J15=3,D14&gt;C15),1)+IF(AND(J14=3,J16=3,E14&gt;C16),1)+IF(AND(J14=3,J17=3,F14&gt;C17),1)+IF(AND(J14=3,J18=3,G14&gt;C18),1)</f>
        <v>1</v>
      </c>
      <c r="L14" s="1305">
        <f>IF(AND(J14=1,J15=1),D14-C15)+IF(AND(J14=1,J16=1),E14-C16)+IF(AND(J14=1,J17=1),F14-C17)+IF(AND(J14=1,J18=1),G14-C18)+IF(AND(J14=2,J15=2),D14-C15)+IF(AND(J14=2,J16=2),E14-C16)+IF(AND(J14=2,J17=2),F14-C17)+IF(AND(J14=2,J18=2),G14-C18)+IF(AND(J14=3,J15=3),D14-C15)+IF(AND(J14=3,J16=3),E14-C16)+IF(AND(J14=3,J17=3),F14-C17)+IF(AND(J14=3,J18=3),G14-C18)</f>
        <v>-1</v>
      </c>
      <c r="M14" s="515">
        <f>10000*J14+K14*100+L14</f>
        <v>20099</v>
      </c>
      <c r="N14" s="668"/>
    </row>
    <row r="15" spans="1:14" s="498" customFormat="1" x14ac:dyDescent="0.2">
      <c r="A15" s="500">
        <v>2</v>
      </c>
      <c r="B15" s="518" t="s">
        <v>94</v>
      </c>
      <c r="C15" s="510">
        <v>13</v>
      </c>
      <c r="D15" s="509"/>
      <c r="E15" s="510">
        <v>13</v>
      </c>
      <c r="F15" s="510">
        <v>12</v>
      </c>
      <c r="G15" s="510">
        <v>13</v>
      </c>
      <c r="H15" s="511" t="str">
        <f>(IF(C15-D14&gt;0,1)+IF(E15-D16&gt;0,1)+IF(F15-D17&gt;0,1)+IF(G15-D18&gt;0,1))&amp;"-"&amp;(IF(C15-D14&lt;0,1)+IF(E15-D16&lt;0,1)+IF(F15-D17&lt;0,1)+IF(G15-D18&lt;0,1))</f>
        <v>3-1</v>
      </c>
      <c r="I15" s="510" t="str">
        <f>IF(AND(B15&lt;&gt;"",M$13=TRUE),A$13&amp;RANK(M15,M$14:M$18,0),"")</f>
        <v>B1</v>
      </c>
      <c r="J15" s="512">
        <f t="shared" ref="J15:J18" si="2">VALUE(LEFT(H15,1))</f>
        <v>3</v>
      </c>
      <c r="K15" s="639">
        <f>IF(AND(J15=1,J14=1,C15&gt;D14),1)+IF(AND(J15=1,J16=1,E15&gt;D16),1)+IF(AND(J15=1,J17=1,F15&gt;D17),1)+IF(AND(J15=1,J18=1,G15&gt;D18),1)+IF(AND(J15=2,J14=2,C15&gt;D14),1)+IF(AND(J15=2,J16=2,E15&gt;D16),1)+IF(AND(J15=2,J17=2,F15&gt;D17),1)+IF(AND(J15=2,J18=2,G15&gt;D18),1)+IF(AND(J15=3,J14=3,C15&gt;D14),1)+IF(AND(J15=3,J16=3,E15&gt;D16),1)+IF(AND(J15=3,J17=3,F15&gt;D17),1)+IF(AND(J15=3,J18=3,G15&gt;D18),1)</f>
        <v>0</v>
      </c>
      <c r="L15" s="1305">
        <f>IF(AND(J15=1,J14=1),C15-D14)+IF(AND(J15=1,J16=1),E15-D16)+IF(AND(J15=1,J17=1),F15-D17)+IF(AND(J15=1,J18=1),G15-D18)+IF(AND(J15=2,J14=2),C15-D14)+IF(AND(J15=2,J16=2),E15-D16)+IF(AND(J15=2,J17=2),F15-D17)+IF(AND(J15=2,J18=2),G15-D18)+IF(AND(J15=3,J14=3),C15-D14)+IF(AND(J15=3,J16=3),E15-D16)+IF(AND(J15=3,J17=3),F15-D17)+IF(AND(J15=3,J18=3),G15-D18)</f>
        <v>0</v>
      </c>
      <c r="M15" s="515">
        <f t="shared" ref="M15:M18" si="3">10000*J15+K15*100+L15</f>
        <v>30000</v>
      </c>
      <c r="N15" s="668"/>
    </row>
    <row r="16" spans="1:14" s="498" customFormat="1" x14ac:dyDescent="0.2">
      <c r="A16" s="500">
        <v>3</v>
      </c>
      <c r="B16" s="518" t="s">
        <v>109</v>
      </c>
      <c r="C16" s="851">
        <v>13</v>
      </c>
      <c r="D16" s="520">
        <v>12</v>
      </c>
      <c r="E16" s="509"/>
      <c r="F16" s="851">
        <v>13</v>
      </c>
      <c r="G16" s="510">
        <v>8</v>
      </c>
      <c r="H16" s="511" t="str">
        <f>(IF(C16-E14&gt;0,1)+IF(D16-E15&gt;0,1)+IF(F16-E17&gt;0,1)+IF(G16-E18&gt;0,1))&amp;"-"&amp;(IF(C16-E14&lt;0,1)+IF(D16-E15&lt;0,1)+IF(F16-E17&lt;0,1)+IF(G16-E18&lt;0,1))</f>
        <v>2-2</v>
      </c>
      <c r="I16" s="510" t="str">
        <f>IF(AND(B16&lt;&gt;"",M$13=TRUE),A$13&amp;RANK(M16,M$14:M$18,0),"")</f>
        <v>B2</v>
      </c>
      <c r="J16" s="512">
        <f t="shared" si="2"/>
        <v>2</v>
      </c>
      <c r="K16" s="639">
        <f>IF(AND(J16=1,J14=1,C16&gt;E14),1)+IF(AND(J16=1,J15=1,D16&gt;E15),1)+IF(AND(J16=1,J17=1,F16&gt;E17),1)+IF(AND(J16=1,J18=1,G16&gt;E18),1)+IF(AND(J16=2,J14=2,C16&gt;E14),1)+IF(AND(J16=2,J15=2,D16&gt;E15),1)+IF(AND(J16=2,J17=2,F16&gt;E17),1)+IF(AND(J16=2,J18=2,G16&gt;E18),1)+IF(AND(J16=3,J14=3,C16&gt;E14),1)+IF(AND(J16=3,J15=3,D16&gt;E15),1)+IF(AND(J16=3,J17=3,F16&gt;E17),1)+IF(AND(J16=3,J18=3,G16&gt;E18),1)</f>
        <v>2</v>
      </c>
      <c r="L16" s="1305">
        <f>IF(AND(J16=1,J14=1),C16-E14)+IF(AND(J16=1,J15=1),D16-E15)+IF(AND(J16=1,J17=1),F16-E17)+IF(AND(J16=1,J18=1),G16-E18)+IF(AND(J16=2,J14=2),C16-E14)+IF(AND(J16=2,J15=2),D16-E15)+IF(AND(J16=2,J17=2),F16-E17)+IF(AND(J16=2,J18=2),G16-E18)+IF(AND(J16=3,J14=3),C16-E14)+IF(AND(J16=3,J15=3),D16-E15)+IF(AND(J16=3,J17=3),F16-E17)+IF(AND(J16=3,J18=3),G16-E18)</f>
        <v>13</v>
      </c>
      <c r="M16" s="515">
        <f t="shared" si="3"/>
        <v>20213</v>
      </c>
      <c r="N16" s="668"/>
    </row>
    <row r="17" spans="1:14" s="498" customFormat="1" x14ac:dyDescent="0.2">
      <c r="A17" s="500">
        <v>4</v>
      </c>
      <c r="B17" s="521" t="s">
        <v>126</v>
      </c>
      <c r="C17" s="851">
        <v>7</v>
      </c>
      <c r="D17" s="520">
        <v>13</v>
      </c>
      <c r="E17" s="851">
        <v>7</v>
      </c>
      <c r="F17" s="509"/>
      <c r="G17" s="522">
        <v>13</v>
      </c>
      <c r="H17" s="511" t="str">
        <f>(IF(C17-F14&gt;0,1)+IF(D17-F15&gt;0,1)+IF(E17-F16&gt;0,1)+IF(G17-F18&gt;0,1))&amp;"-"&amp;(IF(C17-F14&lt;0,1)+IF(D17-F15&lt;0,1)+IF(E17-F16&lt;0,1)+IF(G17-F18&lt;0,1))</f>
        <v>2-2</v>
      </c>
      <c r="I17" s="510" t="str">
        <f>IF(AND(B17&lt;&gt;"",M$13=TRUE),A$13&amp;RANK(M17,M$14:M$18,0),"")</f>
        <v>B4</v>
      </c>
      <c r="J17" s="512">
        <f t="shared" si="2"/>
        <v>2</v>
      </c>
      <c r="K17" s="639">
        <f>IF(AND(J17=1,J14=1,C17&gt;F14),1)+IF(AND(J17=1,J15=1,D17&gt;F15),1)+IF(AND(J17=1,J16=1,E17&gt;F16),1)+IF(AND(J17=1,J18=1,G17&gt;F18),1)+IF(AND(J17=2,J14=2,C17&gt;F14),1)+IF(AND(J17=2,J15=2,D17&gt;F15),1)+IF(AND(J17=2,J16=2,E17&gt;F16),1)+IF(AND(J17=2,J18=2,G17&gt;F18),1)+IF(AND(J17=3,J14=3,C17&gt;F14),1)+IF(AND(J17=3,J15=3,D17&gt;F15),1)+IF(AND(J17=3,J16=3,E17&gt;F16),1)+IF(AND(J17=3,J18=3,G17&gt;F18),1)</f>
        <v>0</v>
      </c>
      <c r="L17" s="1305">
        <f>IF(AND(J17=1,J14=1),C17-F14)+IF(AND(J17=1,J15=1),D17-F15)+IF(AND(J17=1,J16=1),E17-F16)+IF(AND(J17=1,J18=1),G17-F18)+IF(AND(J17=2,J14=2),C17-F14)+IF(AND(J17=2,J15=2),D17-F15)+IF(AND(J17=2,J16=2),E17-F16)+IF(AND(J17=2,J18=2),G17-F18)+IF(AND(J17=3,J14=3),C17-F14)+IF(AND(J17=3,J15=3),D17-F15)+IF(AND(J17=3,J16=3),E17-F16)+IF(AND(J17=3,J18=3),G17-F18)</f>
        <v>-12</v>
      </c>
      <c r="M17" s="515">
        <f t="shared" si="3"/>
        <v>19988</v>
      </c>
      <c r="N17" s="668"/>
    </row>
    <row r="18" spans="1:14" s="498" customFormat="1" x14ac:dyDescent="0.2">
      <c r="A18" s="500">
        <v>5</v>
      </c>
      <c r="B18" s="521" t="s">
        <v>113</v>
      </c>
      <c r="C18" s="510">
        <v>2</v>
      </c>
      <c r="D18" s="510">
        <v>10</v>
      </c>
      <c r="E18" s="510">
        <v>13</v>
      </c>
      <c r="F18" s="510">
        <v>4</v>
      </c>
      <c r="G18" s="509"/>
      <c r="H18" s="511" t="str">
        <f>(IF(C18-G14&gt;0,1)+IF(D18-G15&gt;0,1)+IF(E18-G16&gt;0,1)+IF(F18-G17&gt;0,1))&amp;"-"&amp;(IF(C18-G14&lt;0,1)+IF(D18-G15&lt;0,1)+IF(E18-G16&lt;0,1)+IF(F18-G17&lt;0,1))</f>
        <v>1-3</v>
      </c>
      <c r="I18" s="510" t="str">
        <f>IF(AND(B18&lt;&gt;"",M$13=TRUE),A$13&amp;RANK(M18,M$14:M$18,0),"")</f>
        <v>B5</v>
      </c>
      <c r="J18" s="512">
        <f t="shared" si="2"/>
        <v>1</v>
      </c>
      <c r="K18" s="639">
        <f>IF(AND(J18=1,J14=1,C18&gt;G14),1)+IF(AND(J18=1,J15=1,D18&gt;G15),1)+IF(AND(J18=1,J16=1,E18&gt;G16),1)+IF(AND(J18=1,J17=1,F18&gt;G17),1)+IF(AND(J18=2,J14=2,C18&gt;G14),1)+IF(AND(J18=2,J15=2,D18&gt;G15),1)+IF(AND(J18=2,J16=2,E18&gt;G16),1)+IF(AND(J18=2,J17=2,F18&gt;G17),1)+IF(AND(J18=3,J14=3,C18&gt;G14),1)+IF(AND(J18=3,J15=3,D18&gt;G15),1)+IF(AND(J18=3,J16=3,E18&gt;G16),1)+IF(AND(J18=3,J17=3,F18&gt;G17),1)</f>
        <v>0</v>
      </c>
      <c r="L18" s="1305">
        <f>IF(AND(J18=1,J14=1),C18-G14)+IF(AND(J18=1,J15=1),D18-G15)+IF(AND(J18=1,J16=1),E18-G16)+IF(AND(J18=1,J17=1),F18-G17)+IF(AND(J18=2,J14=2),C18-G14)+IF(AND(J18=2,J15=2),D18-G15)+IF(AND(J18=2,J16=2),E18-G16)+IF(AND(J18=2,J17=2),F18-G17)+IF(AND(J18=3,J14=3),C18-G14)+IF(AND(J18=3,J15=3),D18-G15)+IF(AND(J18=3,J16=3),E18-G16)+IF(AND(J18=3,J17=3),F18-G17)</f>
        <v>0</v>
      </c>
      <c r="M18" s="515">
        <f t="shared" si="3"/>
        <v>10000</v>
      </c>
      <c r="N18" s="668"/>
    </row>
    <row r="19" spans="1:14" s="506" customFormat="1" x14ac:dyDescent="0.2">
      <c r="A19" s="523"/>
      <c r="B19" s="524"/>
      <c r="C19" s="525"/>
      <c r="D19" s="526"/>
      <c r="E19" s="525"/>
      <c r="F19" s="527"/>
      <c r="H19" s="528"/>
      <c r="I19" s="529"/>
      <c r="J19" s="496"/>
      <c r="K19" s="537"/>
      <c r="L19" s="531"/>
      <c r="M19" s="496"/>
      <c r="N19" s="668"/>
    </row>
    <row r="20" spans="1:14" s="498" customFormat="1" x14ac:dyDescent="0.2">
      <c r="A20" s="500" t="s">
        <v>142</v>
      </c>
      <c r="B20" s="501"/>
      <c r="C20" s="502">
        <v>1</v>
      </c>
      <c r="D20" s="502">
        <v>2</v>
      </c>
      <c r="E20" s="502">
        <v>3</v>
      </c>
      <c r="F20" s="502">
        <v>4</v>
      </c>
      <c r="G20" s="502">
        <v>5</v>
      </c>
      <c r="H20" s="501" t="s">
        <v>363</v>
      </c>
      <c r="I20" s="501" t="s">
        <v>26</v>
      </c>
      <c r="J20" s="533" t="s">
        <v>156</v>
      </c>
      <c r="K20" s="504" t="s">
        <v>156</v>
      </c>
      <c r="L20" s="534" t="s">
        <v>364</v>
      </c>
      <c r="M20" s="535" t="b">
        <f>OR(AND(COUNTA(B21:B25)=3,COUNTA(C21:G25)=6),AND(COUNTA(B21:B25)=4,COUNTA(C21:G25)=12),AND(COUNTA(B21:B25)=5,COUNTA(C21:G25)=20))</f>
        <v>1</v>
      </c>
      <c r="N20" s="668"/>
    </row>
    <row r="21" spans="1:14" s="498" customFormat="1" x14ac:dyDescent="0.2">
      <c r="A21" s="500">
        <v>1</v>
      </c>
      <c r="B21" s="508" t="s">
        <v>95</v>
      </c>
      <c r="C21" s="509"/>
      <c r="D21" s="510">
        <v>6</v>
      </c>
      <c r="E21" s="510">
        <v>7</v>
      </c>
      <c r="F21" s="510">
        <v>13</v>
      </c>
      <c r="G21" s="510">
        <v>13</v>
      </c>
      <c r="H21" s="511" t="str">
        <f>(IF(D21-C22&gt;0,1)+IF(E21-C23&gt;0,1)+IF(F21-C24&gt;0,1)+IF(G21-C25&gt;0,1))&amp;"-"&amp;(IF(D21-C22&lt;0,1)+IF(E21-C23&lt;0,1)+IF(F21-C24&lt;0,1)+IF(G21-C25&lt;0,1))</f>
        <v>2-2</v>
      </c>
      <c r="I21" s="510" t="str">
        <f>IF(AND(B21&lt;&gt;"",M$20=TRUE),A$20&amp;RANK(M21,M$21:M$25,0),"")</f>
        <v>C3</v>
      </c>
      <c r="J21" s="512">
        <f>VALUE(LEFT(H21,1))</f>
        <v>2</v>
      </c>
      <c r="K21" s="513">
        <f>IF(AND(J21=1,J22=1,D21&gt;C22),1)+IF(AND(J21=1,J23=1,E21&gt;C23),1)+IF(AND(J21=1,J24=1,F21&gt;C24),1)+IF(AND(J21=1,J25=1,G21&gt;C25),1)+IF(AND(J21=2,J22=2,D21&gt;C22),1)+IF(AND(J21=2,J23=2,E21&gt;C23),1)+IF(AND(J21=2,J24=2,F21&gt;C24),1)+IF(AND(J21=2,J25=2,G21&gt;C25),1)+IF(AND(J21=3,J22=3,D21&gt;C22),1)+IF(AND(J21=3,J23=3,E21&gt;C23),1)+IF(AND(J21=3,J24=3,F21&gt;C24),1)+IF(AND(J21=3,J25=3,G21&gt;C25),1)</f>
        <v>0</v>
      </c>
      <c r="L21" s="1305">
        <f>IF(AND(J21=1,J22=1),D21-C22)+IF(AND(J21=1,J23=1),E21-C23)+IF(AND(J21=1,J24=1),F21-C24)+IF(AND(J21=1,J25=1),G21-C25)+IF(AND(J21=2,J22=2),D21-C22)+IF(AND(J21=2,J23=2),E21-C23)+IF(AND(J21=2,J24=2),F21-C24)+IF(AND(J21=2,J25=2),G21-C25)+IF(AND(J21=3,J22=3),D21-C22)+IF(AND(J21=3,J23=3),E21-C23)+IF(AND(J21=3,J24=3),F21-C24)+IF(AND(J21=3,J25=3),G21-C25)</f>
        <v>0</v>
      </c>
      <c r="M21" s="515">
        <f>10000*J21+K21*100+L21</f>
        <v>20000</v>
      </c>
      <c r="N21" s="668"/>
    </row>
    <row r="22" spans="1:14" s="498" customFormat="1" x14ac:dyDescent="0.2">
      <c r="A22" s="500">
        <v>2</v>
      </c>
      <c r="B22" s="518" t="s">
        <v>99</v>
      </c>
      <c r="C22" s="510">
        <v>13</v>
      </c>
      <c r="D22" s="509"/>
      <c r="E22" s="510">
        <v>13</v>
      </c>
      <c r="F22" s="510">
        <v>13</v>
      </c>
      <c r="G22" s="510">
        <v>13</v>
      </c>
      <c r="H22" s="511" t="str">
        <f>(IF(C22-D21&gt;0,1)+IF(E22-D23&gt;0,1)+IF(F22-D24&gt;0,1)+IF(G22-D25&gt;0,1))&amp;"-"&amp;(IF(C22-D21&lt;0,1)+IF(E22-D23&lt;0,1)+IF(F22-D24&lt;0,1)+IF(G22-D25&lt;0,1))</f>
        <v>4-0</v>
      </c>
      <c r="I22" s="510" t="str">
        <f>IF(AND(B22&lt;&gt;"",M$20=TRUE),A$20&amp;RANK(M22,M$21:M$25,0),"")</f>
        <v>C1</v>
      </c>
      <c r="J22" s="512">
        <f t="shared" ref="J22:J25" si="4">VALUE(LEFT(H22,1))</f>
        <v>4</v>
      </c>
      <c r="K22" s="639">
        <f>IF(AND(J22=1,J21=1,C22&gt;D21),1)+IF(AND(J22=1,J23=1,E22&gt;D23),1)+IF(AND(J22=1,J24=1,F22&gt;D24),1)+IF(AND(J22=1,J25=1,G22&gt;D25),1)+IF(AND(J22=2,J21=2,C22&gt;D21),1)+IF(AND(J22=2,J23=2,E22&gt;D23),1)+IF(AND(J22=2,J24=2,F22&gt;D24),1)+IF(AND(J22=2,J25=2,G22&gt;D25),1)+IF(AND(J22=3,J21=3,C22&gt;D21),1)+IF(AND(J22=3,J23=3,E22&gt;D23),1)+IF(AND(J22=3,J24=3,F22&gt;D24),1)+IF(AND(J22=3,J25=3,G22&gt;D25),1)</f>
        <v>0</v>
      </c>
      <c r="L22" s="1305">
        <f>IF(AND(J22=1,J21=1),C22-D21)+IF(AND(J22=1,J23=1),E22-D23)+IF(AND(J22=1,J24=1),F22-D24)+IF(AND(J22=1,J25=1),G22-D25)+IF(AND(J22=2,J21=2),C22-D21)+IF(AND(J22=2,J23=2),E22-D23)+IF(AND(J22=2,J24=2),F22-D24)+IF(AND(J22=2,J25=2),G22-D25)+IF(AND(J22=3,J21=3),C22-D21)+IF(AND(J22=3,J23=3),E22-D23)+IF(AND(J22=3,J24=3),F22-D24)+IF(AND(J22=3,J25=3),G22-D25)</f>
        <v>0</v>
      </c>
      <c r="M22" s="515">
        <f t="shared" ref="M22:M25" si="5">10000*J22+K22*100+L22</f>
        <v>40000</v>
      </c>
      <c r="N22" s="668"/>
    </row>
    <row r="23" spans="1:14" s="498" customFormat="1" x14ac:dyDescent="0.2">
      <c r="A23" s="500">
        <v>3</v>
      </c>
      <c r="B23" s="518" t="s">
        <v>88</v>
      </c>
      <c r="C23" s="510">
        <v>13</v>
      </c>
      <c r="D23" s="520">
        <v>10</v>
      </c>
      <c r="E23" s="509"/>
      <c r="F23" s="510">
        <v>13</v>
      </c>
      <c r="G23" s="510">
        <v>13</v>
      </c>
      <c r="H23" s="511" t="str">
        <f>(IF(C23-E21&gt;0,1)+IF(D23-E22&gt;0,1)+IF(F23-E24&gt;0,1)+IF(G23-E25&gt;0,1))&amp;"-"&amp;(IF(C23-E21&lt;0,1)+IF(D23-E22&lt;0,1)+IF(F23-E24&lt;0,1)+IF(G23-E25&lt;0,1))</f>
        <v>3-1</v>
      </c>
      <c r="I23" s="510" t="str">
        <f>IF(AND(B23&lt;&gt;"",M$20=TRUE),A$20&amp;RANK(M23,M$21:M$25,0),"")</f>
        <v>C2</v>
      </c>
      <c r="J23" s="512">
        <f t="shared" si="4"/>
        <v>3</v>
      </c>
      <c r="K23" s="639">
        <f>IF(AND(J23=1,J21=1,C23&gt;E21),1)+IF(AND(J23=1,J22=1,D23&gt;E22),1)+IF(AND(J23=1,J24=1,F23&gt;E24),1)+IF(AND(J23=1,J25=1,G23&gt;E25),1)+IF(AND(J23=2,J21=2,C23&gt;E21),1)+IF(AND(J23=2,J22=2,D23&gt;E22),1)+IF(AND(J23=2,J24=2,F23&gt;E24),1)+IF(AND(J23=2,J25=2,G23&gt;E25),1)+IF(AND(J23=3,J21=3,C23&gt;E21),1)+IF(AND(J23=3,J22=3,D23&gt;E22),1)+IF(AND(J23=3,J24=3,F23&gt;E24),1)+IF(AND(J23=3,J25=3,G23&gt;E25),1)</f>
        <v>0</v>
      </c>
      <c r="L23" s="1305">
        <f>IF(AND(J23=1,J21=1),C23-E21)+IF(AND(J23=1,J22=1),D23-E22)+IF(AND(J23=1,J24=1),F23-E24)+IF(AND(J23=1,J25=1),G23-E25)+IF(AND(J23=2,J21=2),C23-E21)+IF(AND(J23=2,J22=2),D23-E22)+IF(AND(J23=2,J24=2),F23-E24)+IF(AND(J23=2,J25=2),G23-E25)+IF(AND(J23=3,J21=3),C23-E21)+IF(AND(J23=3,J22=3),D23-E22)+IF(AND(J23=3,J24=3),F23-E24)+IF(AND(J23=3,J25=3),G23-E25)</f>
        <v>0</v>
      </c>
      <c r="M23" s="515">
        <f t="shared" si="5"/>
        <v>30000</v>
      </c>
      <c r="N23" s="668"/>
    </row>
    <row r="24" spans="1:14" s="498" customFormat="1" x14ac:dyDescent="0.2">
      <c r="A24" s="500">
        <v>4</v>
      </c>
      <c r="B24" s="518" t="s">
        <v>98</v>
      </c>
      <c r="C24" s="510">
        <v>9</v>
      </c>
      <c r="D24" s="520">
        <v>4</v>
      </c>
      <c r="E24" s="510">
        <v>10</v>
      </c>
      <c r="F24" s="509"/>
      <c r="G24" s="522">
        <v>9</v>
      </c>
      <c r="H24" s="511" t="str">
        <f>(IF(C24-F21&gt;0,1)+IF(D24-F22&gt;0,1)+IF(E24-F23&gt;0,1)+IF(G24-F25&gt;0,1))&amp;"-"&amp;(IF(C24-F21&lt;0,1)+IF(D24-F22&lt;0,1)+IF(E24-F23&lt;0,1)+IF(G24-F25&lt;0,1))</f>
        <v>0-4</v>
      </c>
      <c r="I24" s="510" t="str">
        <f>IF(AND(B24&lt;&gt;"",M$20=TRUE),A$20&amp;RANK(M24,M$21:M$25,0),"")</f>
        <v>C5</v>
      </c>
      <c r="J24" s="512">
        <f t="shared" si="4"/>
        <v>0</v>
      </c>
      <c r="K24" s="639">
        <f>IF(AND(J24=1,J21=1,C24&gt;F21),1)+IF(AND(J24=1,J22=1,D24&gt;F22),1)+IF(AND(J24=1,J23=1,E24&gt;F23),1)+IF(AND(J24=1,J25=1,G24&gt;F25),1)+IF(AND(J24=2,J21=2,C24&gt;F21),1)+IF(AND(J24=2,J22=2,D24&gt;F22),1)+IF(AND(J24=2,J23=2,E24&gt;F23),1)+IF(AND(J24=2,J25=2,G24&gt;F25),1)+IF(AND(J24=3,J21=3,C24&gt;F21),1)+IF(AND(J24=3,J22=3,D24&gt;F22),1)+IF(AND(J24=3,J23=3,E24&gt;F23),1)+IF(AND(J24=3,J25=3,G24&gt;F25),1)</f>
        <v>0</v>
      </c>
      <c r="L24" s="1305">
        <f>IF(AND(J24=1,J21=1),C24-F21)+IF(AND(J24=1,J22=1),D24-F22)+IF(AND(J24=1,J23=1),E24-F23)+IF(AND(J24=1,J25=1),G24-F25)+IF(AND(J24=2,J21=2),C24-F21)+IF(AND(J24=2,J22=2),D24-F22)+IF(AND(J24=2,J23=2),E24-F23)+IF(AND(J24=2,J25=2),G24-F25)+IF(AND(J24=3,J21=3),C24-F21)+IF(AND(J24=3,J22=3),D24-F22)+IF(AND(J24=3,J23=3),E24-F23)+IF(AND(J24=3,J25=3),G24-F25)</f>
        <v>0</v>
      </c>
      <c r="M24" s="515">
        <f t="shared" si="5"/>
        <v>0</v>
      </c>
      <c r="N24" s="668"/>
    </row>
    <row r="25" spans="1:14" s="498" customFormat="1" x14ac:dyDescent="0.2">
      <c r="A25" s="500">
        <v>5</v>
      </c>
      <c r="B25" s="521" t="s">
        <v>208</v>
      </c>
      <c r="C25" s="510">
        <v>10</v>
      </c>
      <c r="D25" s="510">
        <v>9</v>
      </c>
      <c r="E25" s="510">
        <v>9</v>
      </c>
      <c r="F25" s="510">
        <v>13</v>
      </c>
      <c r="G25" s="509"/>
      <c r="H25" s="511" t="str">
        <f>(IF(C25-G21&gt;0,1)+IF(D25-G22&gt;0,1)+IF(E25-G23&gt;0,1)+IF(F25-G24&gt;0,1))&amp;"-"&amp;(IF(C25-G21&lt;0,1)+IF(D25-G22&lt;0,1)+IF(E25-G23&lt;0,1)+IF(F25-G24&lt;0,1))</f>
        <v>1-3</v>
      </c>
      <c r="I25" s="510" t="str">
        <f>IF(AND(B25&lt;&gt;"",M$20=TRUE),A$20&amp;RANK(M25,M$21:M$25,0),"")</f>
        <v>C4</v>
      </c>
      <c r="J25" s="512">
        <f t="shared" si="4"/>
        <v>1</v>
      </c>
      <c r="K25" s="639">
        <f>IF(AND(J25=1,J21=1,C25&gt;G21),1)+IF(AND(J25=1,J22=1,D25&gt;G22),1)+IF(AND(J25=1,J23=1,E25&gt;G23),1)+IF(AND(J25=1,J24=1,F25&gt;G24),1)+IF(AND(J25=2,J21=2,C25&gt;G21),1)+IF(AND(J25=2,J22=2,D25&gt;G22),1)+IF(AND(J25=2,J23=2,E25&gt;G23),1)+IF(AND(J25=2,J24=2,F25&gt;G24),1)+IF(AND(J25=3,J21=3,C25&gt;G21),1)+IF(AND(J25=3,J22=3,D25&gt;G22),1)+IF(AND(J25=3,J23=3,E25&gt;G23),1)+IF(AND(J25=3,J24=3,F25&gt;G24),1)</f>
        <v>0</v>
      </c>
      <c r="L25" s="514">
        <f>IF(AND(J25=1,J21=1),C25-G21)+IF(AND(J25=1,J22=1),D25-G22)+IF(AND(J25=1,J23=1),E25-G23)+IF(AND(J25=1,J24=1),F25-G24)+IF(AND(J25=2,J21=2),C25-G21)+IF(AND(J25=2,J22=2),D25-G22)+IF(AND(J25=2,J23=2),E25-G23)+IF(AND(J25=2,J24=2),F25-G24)+IF(AND(J25=3,J21=3),C25-G21)+IF(AND(J25=3,J22=3),D25-G22)+IF(AND(J25=3,J23=3),E25-G23)+IF(AND(J25=3,J24=3),F25-G24)</f>
        <v>0</v>
      </c>
      <c r="M25" s="515">
        <f t="shared" si="5"/>
        <v>10000</v>
      </c>
      <c r="N25" s="668"/>
    </row>
    <row r="26" spans="1:14" s="498" customFormat="1" x14ac:dyDescent="0.2">
      <c r="A26" s="538"/>
      <c r="B26" s="539"/>
      <c r="C26" s="540"/>
      <c r="D26" s="540"/>
      <c r="E26" s="540"/>
      <c r="F26" s="641"/>
      <c r="G26" s="641"/>
      <c r="H26" s="541"/>
      <c r="I26" s="542"/>
      <c r="J26" s="642"/>
      <c r="K26" s="530"/>
      <c r="L26" s="643"/>
      <c r="M26" s="642"/>
      <c r="N26" s="668"/>
    </row>
    <row r="27" spans="1:14" s="506" customFormat="1" x14ac:dyDescent="0.2">
      <c r="A27" s="500" t="s">
        <v>143</v>
      </c>
      <c r="B27" s="501"/>
      <c r="C27" s="502">
        <v>1</v>
      </c>
      <c r="D27" s="502">
        <v>2</v>
      </c>
      <c r="E27" s="502">
        <v>3</v>
      </c>
      <c r="F27" s="502">
        <v>4</v>
      </c>
      <c r="G27" s="502">
        <v>5</v>
      </c>
      <c r="H27" s="501" t="s">
        <v>363</v>
      </c>
      <c r="I27" s="501" t="s">
        <v>26</v>
      </c>
      <c r="J27" s="533" t="s">
        <v>156</v>
      </c>
      <c r="K27" s="504" t="s">
        <v>156</v>
      </c>
      <c r="L27" s="534" t="s">
        <v>364</v>
      </c>
      <c r="M27" s="535" t="b">
        <f>OR(AND(COUNTA(B28:B32)=3,COUNTA(C28:G32)=6),AND(COUNTA(B28:B32)=4,COUNTA(C28:G32)=12),AND(COUNTA(B28:B32)=5,COUNTA(C28:G32)=20))</f>
        <v>1</v>
      </c>
      <c r="N27" s="668"/>
    </row>
    <row r="28" spans="1:14" s="506" customFormat="1" x14ac:dyDescent="0.2">
      <c r="A28" s="500">
        <v>1</v>
      </c>
      <c r="B28" s="508" t="s">
        <v>93</v>
      </c>
      <c r="C28" s="509"/>
      <c r="D28" s="510">
        <v>5</v>
      </c>
      <c r="E28" s="510">
        <v>13</v>
      </c>
      <c r="F28" s="510">
        <v>13</v>
      </c>
      <c r="G28" s="510">
        <v>13</v>
      </c>
      <c r="H28" s="511" t="str">
        <f>(IF(D28-C29&gt;0,1)+IF(E28-C30&gt;0,1)+IF(F28-C31&gt;0,1)+IF(G28-C32&gt;0,1))&amp;"-"&amp;(IF(D28-C29&lt;0,1)+IF(E28-C30&lt;0,1)+IF(F28-C31&lt;0,1)+IF(G28-C32&lt;0,1))</f>
        <v>3-1</v>
      </c>
      <c r="I28" s="510" t="str">
        <f>IF(AND(B28&lt;&gt;"",M$27=TRUE),A$27&amp;RANK(M28,M$28:M$32,0),"")</f>
        <v>D2</v>
      </c>
      <c r="J28" s="512">
        <f>VALUE(LEFT(H28,1))</f>
        <v>3</v>
      </c>
      <c r="K28" s="513">
        <f>IF(AND(J28=1,J29=1,D28&gt;C29),1)+IF(AND(J28=1,J30=1,E28&gt;C30),1)+IF(AND(J28=1,J31=1,F28&gt;C31),1)+IF(AND(J28=1,J32=1,G28&gt;C32),1)+IF(AND(J28=2,J29=2,D28&gt;C29),1)+IF(AND(J28=2,J30=2,E28&gt;C30),1)+IF(AND(J28=2,J31=2,F28&gt;C31),1)+IF(AND(J28=2,J32=2,G28&gt;C32),1)+IF(AND(J28=3,J29=3,D28&gt;C29),1)+IF(AND(J28=3,J30=3,E28&gt;C30),1)+IF(AND(J28=3,J31=3,F28&gt;C31),1)+IF(AND(J28=3,J32=3,G28&gt;C32),1)</f>
        <v>0</v>
      </c>
      <c r="L28" s="1305">
        <f>IF(AND(J28=1,J29=1),D28-C29)+IF(AND(J28=1,J30=1),E28-C30)+IF(AND(J28=1,J31=1),F28-C31)+IF(AND(J28=1,J32=1),G28-C32)+IF(AND(J28=2,J29=2),D28-C29)+IF(AND(J28=2,J30=2),E28-C30)+IF(AND(J28=2,J31=2),F28-C31)+IF(AND(J28=2,J32=2),G28-C32)+IF(AND(J28=3,J29=3),D28-C29)+IF(AND(J28=3,J30=3),E28-C30)+IF(AND(J28=3,J31=3),F28-C31)+IF(AND(J28=3,J32=3),G28-C32)</f>
        <v>0</v>
      </c>
      <c r="M28" s="515">
        <f>10000*J28+K28*100+L28</f>
        <v>30000</v>
      </c>
      <c r="N28" s="668"/>
    </row>
    <row r="29" spans="1:14" s="506" customFormat="1" x14ac:dyDescent="0.2">
      <c r="A29" s="500">
        <v>2</v>
      </c>
      <c r="B29" s="518" t="s">
        <v>90</v>
      </c>
      <c r="C29" s="510">
        <v>13</v>
      </c>
      <c r="D29" s="509"/>
      <c r="E29" s="510">
        <v>13</v>
      </c>
      <c r="F29" s="510">
        <v>13</v>
      </c>
      <c r="G29" s="510">
        <v>13</v>
      </c>
      <c r="H29" s="511" t="str">
        <f>(IF(C29-D28&gt;0,1)+IF(E29-D30&gt;0,1)+IF(F29-D31&gt;0,1)+IF(G29-D32&gt;0,1))&amp;"-"&amp;(IF(C29-D28&lt;0,1)+IF(E29-D30&lt;0,1)+IF(F29-D31&lt;0,1)+IF(G29-D32&lt;0,1))</f>
        <v>4-0</v>
      </c>
      <c r="I29" s="510" t="str">
        <f>IF(AND(B29&lt;&gt;"",M$27=TRUE),A$27&amp;RANK(M29,M$28:M$32,0),"")</f>
        <v>D1</v>
      </c>
      <c r="J29" s="512">
        <f t="shared" ref="J29:J32" si="6">VALUE(LEFT(H29,1))</f>
        <v>4</v>
      </c>
      <c r="K29" s="639">
        <f>IF(AND(J29=1,J28=1,C29&gt;D28),1)+IF(AND(J29=1,J30=1,E29&gt;D30),1)+IF(AND(J29=1,J31=1,F29&gt;D31),1)+IF(AND(J29=1,J32=1,G29&gt;D32),1)+IF(AND(J29=2,J28=2,C29&gt;D28),1)+IF(AND(J29=2,J30=2,E29&gt;D30),1)+IF(AND(J29=2,J31=2,F29&gt;D31),1)+IF(AND(J29=2,J32=2,G29&gt;D32),1)+IF(AND(J29=3,J28=3,C29&gt;D28),1)+IF(AND(J29=3,J30=3,E29&gt;D30),1)+IF(AND(J29=3,J31=3,F29&gt;D31),1)+IF(AND(J29=3,J32=3,G29&gt;D32),1)</f>
        <v>0</v>
      </c>
      <c r="L29" s="1305">
        <f>IF(AND(J29=1,J28=1),C29-D28)+IF(AND(J29=1,J30=1),E29-D30)+IF(AND(J29=1,J31=1),F29-D31)+IF(AND(J29=1,J32=1),G29-D32)+IF(AND(J29=2,J28=2),C29-D28)+IF(AND(J29=2,J30=2),E29-D30)+IF(AND(J29=2,J31=2),F29-D31)+IF(AND(J29=2,J32=2),G29-D32)+IF(AND(J29=3,J28=3),C29-D28)+IF(AND(J29=3,J30=3),E29-D30)+IF(AND(J29=3,J31=3),F29-D31)+IF(AND(J29=3,J32=3),G29-D32)</f>
        <v>0</v>
      </c>
      <c r="M29" s="515">
        <f t="shared" ref="M29:M32" si="7">10000*J29+K29*100+L29</f>
        <v>40000</v>
      </c>
      <c r="N29" s="668"/>
    </row>
    <row r="30" spans="1:14" s="506" customFormat="1" x14ac:dyDescent="0.2">
      <c r="A30" s="500">
        <v>3</v>
      </c>
      <c r="B30" s="518" t="s">
        <v>107</v>
      </c>
      <c r="C30" s="510">
        <v>2</v>
      </c>
      <c r="D30" s="520">
        <v>10</v>
      </c>
      <c r="E30" s="509"/>
      <c r="F30" s="852">
        <v>8</v>
      </c>
      <c r="G30" s="852">
        <v>13</v>
      </c>
      <c r="H30" s="511" t="str">
        <f>(IF(C30-E28&gt;0,1)+IF(D30-E29&gt;0,1)+IF(F30-E31&gt;0,1)+IF(G30-E32&gt;0,1))&amp;"-"&amp;(IF(C30-E28&lt;0,1)+IF(D30-E29&lt;0,1)+IF(F30-E31&lt;0,1)+IF(G30-E32&lt;0,1))</f>
        <v>1-3</v>
      </c>
      <c r="I30" s="510" t="str">
        <f>IF(AND(B30&lt;&gt;"",M$27=TRUE),A$27&amp;RANK(M30,M$28:M$32,0),"")</f>
        <v>D4</v>
      </c>
      <c r="J30" s="512">
        <f t="shared" si="6"/>
        <v>1</v>
      </c>
      <c r="K30" s="639">
        <f>IF(AND(J30=1,J28=1,C30&gt;E28),1)+IF(AND(J30=1,J29=1,D30&gt;E29),1)+IF(AND(J30=1,J31=1,F30&gt;E31),1)+IF(AND(J30=1,J32=1,G30&gt;E32),1)+IF(AND(J30=2,J28=2,C30&gt;E28),1)+IF(AND(J30=2,J29=2,D30&gt;E29),1)+IF(AND(J30=2,J31=2,F30&gt;E31),1)+IF(AND(J30=2,J32=2,G30&gt;E32),1)+IF(AND(J30=3,J28=3,C30&gt;E28),1)+IF(AND(J30=3,J29=3,D30&gt;E29),1)+IF(AND(J30=3,J31=3,F30&gt;E31),1)+IF(AND(J30=3,J32=3,G30&gt;E32),1)</f>
        <v>1</v>
      </c>
      <c r="L30" s="1305">
        <f>IF(AND(J30=1,J28=1),C30-E28)+IF(AND(J30=1,J29=1),D30-E29)+IF(AND(J30=1,J31=1),F30-E31)+IF(AND(J30=1,J32=1),G30-E32)+IF(AND(J30=2,J28=2),C30-E28)+IF(AND(J30=2,J29=2),D30-E29)+IF(AND(J30=2,J31=2),F30-E31)+IF(AND(J30=2,J32=2),G30-E32)+IF(AND(J30=3,J28=3),C30-E28)+IF(AND(J30=3,J29=3),D30-E29)+IF(AND(J30=3,J31=3),F30-E31)+IF(AND(J30=3,J32=3),G30-E32)</f>
        <v>0</v>
      </c>
      <c r="M30" s="515">
        <f t="shared" si="7"/>
        <v>10100</v>
      </c>
      <c r="N30" s="668"/>
    </row>
    <row r="31" spans="1:14" s="506" customFormat="1" x14ac:dyDescent="0.2">
      <c r="A31" s="500">
        <v>4</v>
      </c>
      <c r="B31" s="521" t="s">
        <v>209</v>
      </c>
      <c r="C31" s="510">
        <v>11</v>
      </c>
      <c r="D31" s="520">
        <v>6</v>
      </c>
      <c r="E31" s="852">
        <v>13</v>
      </c>
      <c r="F31" s="509"/>
      <c r="G31" s="852">
        <v>6</v>
      </c>
      <c r="H31" s="511" t="str">
        <f>(IF(C31-F28&gt;0,1)+IF(D31-F29&gt;0,1)+IF(E31-F30&gt;0,1)+IF(G31-F32&gt;0,1))&amp;"-"&amp;(IF(C31-F28&lt;0,1)+IF(D31-F29&lt;0,1)+IF(E31-F30&lt;0,1)+IF(G31-F32&lt;0,1))</f>
        <v>1-3</v>
      </c>
      <c r="I31" s="510" t="str">
        <f>IF(AND(B31&lt;&gt;"",M$27=TRUE),A$27&amp;RANK(M31,M$28:M$32,0),"")</f>
        <v>D5</v>
      </c>
      <c r="J31" s="512">
        <f t="shared" si="6"/>
        <v>1</v>
      </c>
      <c r="K31" s="639">
        <f>IF(AND(J31=1,J28=1,C31&gt;F28),1)+IF(AND(J31=1,J29=1,D31&gt;F29),1)+IF(AND(J31=1,J30=1,E31&gt;F30),1)+IF(AND(J31=1,J32=1,G31&gt;F32),1)+IF(AND(J31=2,J28=2,C31&gt;F28),1)+IF(AND(J31=2,J29=2,D31&gt;F29),1)+IF(AND(J31=2,J30=2,E31&gt;F30),1)+IF(AND(J31=2,J32=2,G31&gt;F32),1)+IF(AND(J31=3,J28=3,C31&gt;F28),1)+IF(AND(J31=3,J29=3,D31&gt;F29),1)+IF(AND(J31=3,J30=3,E31&gt;F30),1)+IF(AND(J31=3,J32=3,G31&gt;F32),1)</f>
        <v>1</v>
      </c>
      <c r="L31" s="1305">
        <f>IF(AND(J31=1,J28=1),C31-F28)+IF(AND(J31=1,J29=1),D31-F29)+IF(AND(J31=1,J30=1),E31-F30)+IF(AND(J31=1,J32=1),G31-F32)+IF(AND(J31=2,J28=2),C31-F28)+IF(AND(J31=2,J29=2),D31-F29)+IF(AND(J31=2,J30=2),E31-F30)+IF(AND(J31=2,J32=2),G31-F32)+IF(AND(J31=3,J28=3),C31-F28)+IF(AND(J31=3,J29=3),D31-F29)+IF(AND(J31=3,J30=3),E31-F30)+IF(AND(J31=3,J32=3),G31-F32)</f>
        <v>-2</v>
      </c>
      <c r="M31" s="515">
        <f t="shared" si="7"/>
        <v>10098</v>
      </c>
      <c r="N31" s="668"/>
    </row>
    <row r="32" spans="1:14" s="506" customFormat="1" x14ac:dyDescent="0.2">
      <c r="A32" s="500">
        <v>5</v>
      </c>
      <c r="B32" s="521" t="s">
        <v>122</v>
      </c>
      <c r="C32" s="510">
        <v>10</v>
      </c>
      <c r="D32" s="510">
        <v>10</v>
      </c>
      <c r="E32" s="852">
        <v>8</v>
      </c>
      <c r="F32" s="852">
        <v>13</v>
      </c>
      <c r="G32" s="509"/>
      <c r="H32" s="511" t="str">
        <f>(IF(C32-G28&gt;0,1)+IF(D32-G29&gt;0,1)+IF(E32-G30&gt;0,1)+IF(F32-G31&gt;0,1))&amp;"-"&amp;(IF(C32-G28&lt;0,1)+IF(D32-G29&lt;0,1)+IF(E32-G30&lt;0,1)+IF(F32-G31&lt;0,1))</f>
        <v>1-3</v>
      </c>
      <c r="I32" s="510" t="str">
        <f>IF(AND(B32&lt;&gt;"",M$27=TRUE),A$27&amp;RANK(M32,M$28:M$32,0),"")</f>
        <v>D3</v>
      </c>
      <c r="J32" s="512">
        <f t="shared" si="6"/>
        <v>1</v>
      </c>
      <c r="K32" s="639">
        <f>IF(AND(J32=1,J28=1,C32&gt;G28),1)+IF(AND(J32=1,J29=1,D32&gt;G29),1)+IF(AND(J32=1,J30=1,E32&gt;G30),1)+IF(AND(J32=1,J31=1,F32&gt;G31),1)+IF(AND(J32=2,J28=2,C32&gt;G28),1)+IF(AND(J32=2,J29=2,D32&gt;G29),1)+IF(AND(J32=2,J30=2,E32&gt;G30),1)+IF(AND(J32=2,J31=2,F32&gt;G31),1)+IF(AND(J32=3,J28=3,C32&gt;G28),1)+IF(AND(J32=3,J29=3,D32&gt;G29),1)+IF(AND(J32=3,J30=3,E32&gt;G30),1)+IF(AND(J32=3,J31=3,F32&gt;G31),1)</f>
        <v>1</v>
      </c>
      <c r="L32" s="1305">
        <f>IF(AND(J32=1,J28=1),C32-G28)+IF(AND(J32=1,J29=1),D32-G29)+IF(AND(J32=1,J30=1),E32-G30)+IF(AND(J32=1,J31=1),F32-G31)+IF(AND(J32=2,J28=2),C32-G28)+IF(AND(J32=2,J29=2),D32-G29)+IF(AND(J32=2,J30=2),E32-G30)+IF(AND(J32=2,J31=2),F32-G31)+IF(AND(J32=3,J28=3),C32-G28)+IF(AND(J32=3,J29=3),D32-G29)+IF(AND(J32=3,J30=3),E32-G30)+IF(AND(J32=3,J31=3),F32-G31)</f>
        <v>2</v>
      </c>
      <c r="M32" s="515">
        <f t="shared" si="7"/>
        <v>10102</v>
      </c>
      <c r="N32" s="668"/>
    </row>
    <row r="33" spans="1:14" s="506" customFormat="1" hidden="1" x14ac:dyDescent="0.2">
      <c r="A33" s="523"/>
      <c r="F33" s="545"/>
      <c r="H33" s="546"/>
      <c r="I33" s="547"/>
      <c r="J33" s="535"/>
      <c r="K33" s="542"/>
      <c r="L33" s="548"/>
      <c r="M33" s="535"/>
      <c r="N33" s="668"/>
    </row>
    <row r="34" spans="1:14" s="506" customFormat="1" hidden="1" x14ac:dyDescent="0.2">
      <c r="A34" s="500" t="s">
        <v>144</v>
      </c>
      <c r="B34" s="501"/>
      <c r="C34" s="502">
        <v>1</v>
      </c>
      <c r="D34" s="502">
        <v>2</v>
      </c>
      <c r="E34" s="502">
        <v>3</v>
      </c>
      <c r="F34" s="502">
        <v>4</v>
      </c>
      <c r="G34" s="502">
        <v>5</v>
      </c>
      <c r="H34" s="502" t="s">
        <v>363</v>
      </c>
      <c r="I34" s="501" t="s">
        <v>26</v>
      </c>
      <c r="J34" s="503" t="s">
        <v>156</v>
      </c>
      <c r="K34" s="504" t="s">
        <v>156</v>
      </c>
      <c r="L34" s="505" t="s">
        <v>364</v>
      </c>
      <c r="M34" s="506" t="b">
        <f>OR(AND(COUNTA(B35:B39)=3,COUNTA(C35:G39)=6),AND(COUNTA(B35:B39)=4,COUNTA(C35:G39)=12),AND(COUNTA(B35:B39)=5,COUNTA(C35:G39)=20))</f>
        <v>0</v>
      </c>
      <c r="N34" s="668"/>
    </row>
    <row r="35" spans="1:14" s="506" customFormat="1" hidden="1" x14ac:dyDescent="0.2">
      <c r="A35" s="500">
        <v>1</v>
      </c>
      <c r="B35" s="508"/>
      <c r="C35" s="509"/>
      <c r="D35" s="510"/>
      <c r="E35" s="510"/>
      <c r="F35" s="510"/>
      <c r="G35" s="510"/>
      <c r="H35" s="511" t="str">
        <f>(IF(D35-C36&gt;0,1)+IF(E35-C37&gt;0,1)+IF(F35-C38&gt;0,1)+IF(G35-C39&gt;0,1))&amp;"-"&amp;(IF(D35-C36&lt;0,1)+IF(E35-C37&lt;0,1)+IF(F35-C38&lt;0,1)+IF(G35-C39&lt;0,1))</f>
        <v>0-0</v>
      </c>
      <c r="I35" s="510" t="str">
        <f>IF(AND(B35&lt;&gt;"",M$35=TRUE),A$35&amp;RANK(M35,M$36:M$40,0),"")</f>
        <v/>
      </c>
      <c r="J35" s="512">
        <f>VALUE(LEFT(H35,1))</f>
        <v>0</v>
      </c>
      <c r="K35" s="513">
        <f>IF(AND(J35=1,J36=1,D35&gt;C36),1)+IF(AND(J35=1,J37=1,E35&gt;C37),1)+IF(AND(J35=1,J38=1,F35&gt;C38),1)+IF(AND(J35=1,J39=1,G35&gt;C39),1)+IF(AND(J35=2,J36=2,D35&gt;C36),1)+IF(AND(J35=2,J37=2,E35&gt;C37),1)+IF(AND(J35=2,J38=2,F35&gt;C38),1)+IF(AND(J35=2,J39=2,G35&gt;C39),1)+IF(AND(J35=3,J36=3,D35&gt;C36),1)+IF(AND(J35=3,J37=3,E35&gt;C37),1)+IF(AND(J35=3,J38=3,F35&gt;C38),1)+IF(AND(J35=3,J39=3,G35&gt;C39),1)</f>
        <v>0</v>
      </c>
      <c r="L35" s="1305">
        <f>IF(AND(J35=1,J36=1),D35-C36)+IF(AND(J35=1,J37=1),E35-C37)+IF(AND(J35=1,J38=1),F35-C38)+IF(AND(J35=1,J39=1),G35-C39)+IF(AND(J35=2,J36=2),D35-C36)+IF(AND(J35=2,J37=2),E35-C37)+IF(AND(J35=2,J38=2),F35-C38)+IF(AND(J35=2,J39=2),G35-C39)+IF(AND(J35=3,J36=3),D35-C36)+IF(AND(J35=3,J37=3),E35-C37)+IF(AND(J35=3,J38=3),F35-C38)+IF(AND(J35=3,J39=3),G35-C39)</f>
        <v>0</v>
      </c>
      <c r="M35" s="515">
        <f>10000*J35+K35*100+L35</f>
        <v>0</v>
      </c>
      <c r="N35" s="668"/>
    </row>
    <row r="36" spans="1:14" s="506" customFormat="1" hidden="1" x14ac:dyDescent="0.2">
      <c r="A36" s="500">
        <v>2</v>
      </c>
      <c r="B36" s="518"/>
      <c r="C36" s="510"/>
      <c r="D36" s="509"/>
      <c r="E36" s="510"/>
      <c r="F36" s="510"/>
      <c r="G36" s="510"/>
      <c r="H36" s="511" t="str">
        <f>(IF(C36-D35&gt;0,1)+IF(E36-D37&gt;0,1)+IF(F36-D38&gt;0,1)+IF(G36-D39&gt;0,1))&amp;"-"&amp;(IF(C36-D35&lt;0,1)+IF(E36-D37&lt;0,1)+IF(F36-D38&lt;0,1)+IF(G36-D39&lt;0,1))</f>
        <v>0-0</v>
      </c>
      <c r="I36" s="510" t="str">
        <f>IF(AND(B36&lt;&gt;"",M$35=TRUE),A$35&amp;RANK(M36,M$36:M$40,0),"")</f>
        <v/>
      </c>
      <c r="J36" s="512">
        <f t="shared" ref="J36:J39" si="8">VALUE(LEFT(H36,1))</f>
        <v>0</v>
      </c>
      <c r="K36" s="639">
        <f>IF(AND(J36=1,J35=1,C36&gt;D35),1)+IF(AND(J36=1,J37=1,E36&gt;D37),1)+IF(AND(J36=1,J38=1,F36&gt;D38),1)+IF(AND(J36=1,J39=1,G36&gt;D39),1)+IF(AND(J36=2,J35=2,C36&gt;D35),1)+IF(AND(J36=2,J37=2,E36&gt;D37),1)+IF(AND(J36=2,J38=2,F36&gt;D38),1)+IF(AND(J36=2,J39=2,G36&gt;D39),1)+IF(AND(J36=3,J35=3,C36&gt;D35),1)+IF(AND(J36=3,J37=3,E36&gt;D37),1)+IF(AND(J36=3,J38=3,F36&gt;D38),1)+IF(AND(J36=3,J39=3,G36&gt;D39),1)</f>
        <v>0</v>
      </c>
      <c r="L36" s="1305">
        <f>IF(AND(J36=1,J35=1),C36-D35)+IF(AND(J36=1,J37=1),E36-D37)+IF(AND(J36=1,J38=1),F36-D38)+IF(AND(J36=1,J39=1),G36-D39)+IF(AND(J36=2,J35=2),C36-D35)+IF(AND(J36=2,J37=2),E36-D37)+IF(AND(J36=2,J38=2),F36-D38)+IF(AND(J36=2,J39=2),G36-D39)+IF(AND(J36=3,J35=3),C36-D35)+IF(AND(J36=3,J37=3),E36-D37)+IF(AND(J36=3,J38=3),F36-D38)+IF(AND(J36=3,J39=3),G36-D39)</f>
        <v>0</v>
      </c>
      <c r="M36" s="515">
        <f t="shared" ref="M36:M39" si="9">10000*J36+K36*100+L36</f>
        <v>0</v>
      </c>
      <c r="N36" s="668"/>
    </row>
    <row r="37" spans="1:14" s="506" customFormat="1" hidden="1" x14ac:dyDescent="0.2">
      <c r="A37" s="500">
        <v>3</v>
      </c>
      <c r="B37" s="518"/>
      <c r="C37" s="510"/>
      <c r="D37" s="520"/>
      <c r="E37" s="509"/>
      <c r="F37" s="510"/>
      <c r="G37" s="510"/>
      <c r="H37" s="511" t="str">
        <f>(IF(C37-E35&gt;0,1)+IF(D37-E36&gt;0,1)+IF(F37-E38&gt;0,1)+IF(G37-E39&gt;0,1))&amp;"-"&amp;(IF(C37-E35&lt;0,1)+IF(D37-E36&lt;0,1)+IF(F37-E38&lt;0,1)+IF(G37-E39&lt;0,1))</f>
        <v>0-0</v>
      </c>
      <c r="I37" s="510" t="str">
        <f>IF(AND(B37&lt;&gt;"",M$35=TRUE),A$35&amp;RANK(M37,M$36:M$40,0),"")</f>
        <v/>
      </c>
      <c r="J37" s="512">
        <f t="shared" si="8"/>
        <v>0</v>
      </c>
      <c r="K37" s="639">
        <f>IF(AND(J37=1,J35=1,C37&gt;E35),1)+IF(AND(J37=1,J36=1,D37&gt;E36),1)+IF(AND(J37=1,J38=1,F37&gt;E38),1)+IF(AND(J37=1,J39=1,G37&gt;E39),1)+IF(AND(J37=2,J35=2,C37&gt;E35),1)+IF(AND(J37=2,J36=2,D37&gt;E36),1)+IF(AND(J37=2,J38=2,F37&gt;E38),1)+IF(AND(J37=2,J39=2,G37&gt;E39),1)+IF(AND(J37=3,J35=3,C37&gt;E35),1)+IF(AND(J37=3,J36=3,D37&gt;E36),1)+IF(AND(J37=3,J38=3,F37&gt;E38),1)+IF(AND(J37=3,J39=3,G37&gt;E39),1)</f>
        <v>0</v>
      </c>
      <c r="L37" s="1305">
        <f>IF(AND(J37=1,J35=1),C37-E35)+IF(AND(J37=1,J36=1),D37-E36)+IF(AND(J37=1,J38=1),F37-E38)+IF(AND(J37=1,J39=1),G37-E39)+IF(AND(J37=2,J35=2),C37-E35)+IF(AND(J37=2,J36=2),D37-E36)+IF(AND(J37=2,J38=2),F37-E38)+IF(AND(J37=2,J39=2),G37-E39)+IF(AND(J37=3,J35=3),C37-E35)+IF(AND(J37=3,J36=3),D37-E36)+IF(AND(J37=3,J38=3),F37-E38)+IF(AND(J37=3,J39=3),G37-E39)</f>
        <v>0</v>
      </c>
      <c r="M37" s="515">
        <f t="shared" si="9"/>
        <v>0</v>
      </c>
      <c r="N37" s="668"/>
    </row>
    <row r="38" spans="1:14" s="506" customFormat="1" hidden="1" x14ac:dyDescent="0.2">
      <c r="A38" s="500">
        <v>4</v>
      </c>
      <c r="B38" s="521"/>
      <c r="C38" s="510"/>
      <c r="D38" s="520"/>
      <c r="E38" s="510"/>
      <c r="F38" s="509"/>
      <c r="G38" s="522"/>
      <c r="H38" s="511" t="str">
        <f>(IF(C38-F35&gt;0,1)+IF(D38-F36&gt;0,1)+IF(E38-F37&gt;0,1)+IF(G38-F39&gt;0,1))&amp;"-"&amp;(IF(C38-F35&lt;0,1)+IF(D38-F36&lt;0,1)+IF(E38-F37&lt;0,1)+IF(G38-F39&lt;0,1))</f>
        <v>0-0</v>
      </c>
      <c r="I38" s="510" t="str">
        <f>IF(AND(B38&lt;&gt;"",M$35=TRUE),A$35&amp;RANK(M38,M$36:M$40,0),"")</f>
        <v/>
      </c>
      <c r="J38" s="512">
        <f t="shared" si="8"/>
        <v>0</v>
      </c>
      <c r="K38" s="639">
        <f>IF(AND(J38=1,J35=1,C38&gt;F35),1)+IF(AND(J38=1,J36=1,D38&gt;F36),1)+IF(AND(J38=1,J37=1,E38&gt;F37),1)+IF(AND(J38=1,J39=1,G38&gt;F39),1)+IF(AND(J38=2,J35=2,C38&gt;F35),1)+IF(AND(J38=2,J36=2,D38&gt;F36),1)+IF(AND(J38=2,J37=2,E38&gt;F37),1)+IF(AND(J38=2,J39=2,G38&gt;F39),1)+IF(AND(J38=3,J35=3,C38&gt;F35),1)+IF(AND(J38=3,J36=3,D38&gt;F36),1)+IF(AND(J38=3,J37=3,E38&gt;F37),1)+IF(AND(J38=3,J39=3,G38&gt;F39),1)</f>
        <v>0</v>
      </c>
      <c r="L38" s="1305">
        <f>IF(AND(J38=1,J35=1),C38-F35)+IF(AND(J38=1,J36=1),D38-F36)+IF(AND(J38=1,J37=1),E38-F37)+IF(AND(J38=1,J39=1),G38-F39)+IF(AND(J38=2,J35=2),C38-F35)+IF(AND(J38=2,J36=2),D38-F36)+IF(AND(J38=2,J37=2),E38-F37)+IF(AND(J38=2,J39=2),G38-F39)+IF(AND(J38=3,J35=3),C38-F35)+IF(AND(J38=3,J36=3),D38-F36)+IF(AND(J38=3,J37=3),E38-F37)+IF(AND(J38=3,J39=3),G38-F39)</f>
        <v>0</v>
      </c>
      <c r="M38" s="515">
        <f t="shared" si="9"/>
        <v>0</v>
      </c>
      <c r="N38" s="668"/>
    </row>
    <row r="39" spans="1:14" s="506" customFormat="1" hidden="1" x14ac:dyDescent="0.2">
      <c r="A39" s="500">
        <v>5</v>
      </c>
      <c r="B39" s="521"/>
      <c r="C39" s="510"/>
      <c r="D39" s="510"/>
      <c r="E39" s="510"/>
      <c r="F39" s="510"/>
      <c r="G39" s="509"/>
      <c r="H39" s="511" t="str">
        <f>(IF(C39-G35&gt;0,1)+IF(D39-G36&gt;0,1)+IF(E39-G37&gt;0,1)+IF(F39-G38&gt;0,1))&amp;"-"&amp;(IF(C39-G35&lt;0,1)+IF(D39-G36&lt;0,1)+IF(E39-G37&lt;0,1)+IF(F39-G38&lt;0,1))</f>
        <v>0-0</v>
      </c>
      <c r="I39" s="510" t="str">
        <f>IF(AND(B39&lt;&gt;"",M$35=TRUE),A$35&amp;RANK(M39,M$36:M$40,0),"")</f>
        <v/>
      </c>
      <c r="J39" s="512">
        <f t="shared" si="8"/>
        <v>0</v>
      </c>
      <c r="K39" s="639">
        <f>IF(AND(J39=1,J35=1,C39&gt;G35),1)+IF(AND(J39=1,J36=1,D39&gt;G36),1)+IF(AND(J39=1,J37=1,E39&gt;G37),1)+IF(AND(J39=1,J38=1,F39&gt;G38),1)+IF(AND(J39=2,J35=2,C39&gt;G35),1)+IF(AND(J39=2,J36=2,D39&gt;G36),1)+IF(AND(J39=2,J37=2,E39&gt;G37),1)+IF(AND(J39=2,J38=2,F39&gt;G38),1)+IF(AND(J39=3,J35=3,C39&gt;G35),1)+IF(AND(J39=3,J36=3,D39&gt;G36),1)+IF(AND(J39=3,J37=3,E39&gt;G37),1)+IF(AND(J39=3,J38=3,F39&gt;G38),1)</f>
        <v>0</v>
      </c>
      <c r="L39" s="1305">
        <f>IF(AND(J39=1,J35=1),C39-G35)+IF(AND(J39=1,J36=1),D39-G36)+IF(AND(J39=1,J37=1),E39-G37)+IF(AND(J39=1,J38=1),F39-G38)+IF(AND(J39=2,J35=2),C39-G35)+IF(AND(J39=2,J36=2),D39-G36)+IF(AND(J39=2,J37=2),E39-G37)+IF(AND(J39=2,J38=2),F39-G38)+IF(AND(J39=3,J35=3),C39-G35)+IF(AND(J39=3,J36=3),D39-G36)+IF(AND(J39=3,J37=3),E39-G37)+IF(AND(J39=3,J38=3),F39-G38)</f>
        <v>0</v>
      </c>
      <c r="M39" s="515">
        <f t="shared" si="9"/>
        <v>0</v>
      </c>
      <c r="N39" s="668"/>
    </row>
    <row r="40" spans="1:14" s="506" customFormat="1" hidden="1" x14ac:dyDescent="0.2">
      <c r="A40" s="523"/>
      <c r="B40" s="524"/>
      <c r="C40" s="525"/>
      <c r="D40" s="526"/>
      <c r="E40" s="525"/>
      <c r="F40" s="527"/>
      <c r="H40" s="528"/>
      <c r="I40" s="529"/>
      <c r="J40" s="496"/>
      <c r="K40" s="530"/>
      <c r="L40" s="531"/>
      <c r="M40" s="496"/>
      <c r="N40" s="668"/>
    </row>
    <row r="41" spans="1:14" s="498" customFormat="1" hidden="1" x14ac:dyDescent="0.2">
      <c r="A41" s="500" t="s">
        <v>145</v>
      </c>
      <c r="B41" s="501"/>
      <c r="C41" s="502">
        <v>1</v>
      </c>
      <c r="D41" s="502">
        <v>2</v>
      </c>
      <c r="E41" s="502">
        <v>3</v>
      </c>
      <c r="F41" s="502">
        <v>4</v>
      </c>
      <c r="G41" s="502"/>
      <c r="H41" s="501" t="s">
        <v>363</v>
      </c>
      <c r="I41" s="501" t="s">
        <v>26</v>
      </c>
      <c r="J41" s="533" t="s">
        <v>156</v>
      </c>
      <c r="K41" s="504" t="s">
        <v>156</v>
      </c>
      <c r="L41" s="534" t="s">
        <v>364</v>
      </c>
      <c r="M41" s="535" t="b">
        <f>OR(AND(COUNTA(B42:B46)=3,COUNTA(C42:G46)=6),AND(COUNTA(B42:B46)=4,COUNTA(C42:G46)=12),AND(COUNTA(B42:B46)=5,COUNTA(C42:G46)=20))</f>
        <v>0</v>
      </c>
      <c r="N41" s="668"/>
    </row>
    <row r="42" spans="1:14" s="498" customFormat="1" hidden="1" x14ac:dyDescent="0.2">
      <c r="A42" s="500">
        <v>1</v>
      </c>
      <c r="B42" s="508"/>
      <c r="C42" s="509"/>
      <c r="D42" s="510"/>
      <c r="E42" s="510"/>
      <c r="F42" s="510"/>
      <c r="G42" s="510"/>
      <c r="H42" s="511" t="str">
        <f>(IF(D42-C43&gt;0,1)+IF(E42-C44&gt;0,1)+IF(F42-C45&gt;0,1)+IF(G42-C46&gt;0,1))&amp;"-"&amp;(IF(D42-C43&lt;0,1)+IF(E42-C44&lt;0,1)+IF(F42-C45&lt;0,1)+IF(G42-C46&lt;0,1))</f>
        <v>0-0</v>
      </c>
      <c r="I42" s="510" t="str">
        <f>IF(AND(B42&lt;&gt;"",M$42=TRUE),A$42&amp;RANK(M42,M$43:VM$47,0),"")</f>
        <v/>
      </c>
      <c r="J42" s="512">
        <f>VALUE(LEFT(H42,1))</f>
        <v>0</v>
      </c>
      <c r="K42" s="513">
        <f>IF(AND(J42=1,J43=1,D42&gt;C43),1)+IF(AND(J42=1,J44=1,E42&gt;C44),1)+IF(AND(J42=1,J45=1,F42&gt;C45),1)+IF(AND(J42=1,J46=1,G42&gt;C46),1)+IF(AND(J42=2,J43=2,D42&gt;C43),1)+IF(AND(J42=2,J44=2,E42&gt;C44),1)+IF(AND(J42=2,J45=2,F42&gt;C45),1)+IF(AND(J42=2,J46=2,G42&gt;C46),1)+IF(AND(J42=3,J43=3,D42&gt;C43),1)+IF(AND(J42=3,J44=3,E42&gt;C44),1)+IF(AND(J42=3,J45=3,F42&gt;C45),1)+IF(AND(J42=3,J46=3,G42&gt;C46),1)</f>
        <v>0</v>
      </c>
      <c r="L42" s="1305">
        <f>IF(AND(J42=1,J43=1),D42-C43)+IF(AND(J42=1,J44=1),E42-C44)+IF(AND(J42=1,J45=1),F42-C45)+IF(AND(J42=1,J46=1),G42-C46)+IF(AND(J42=2,J43=2),D42-C43)+IF(AND(J42=2,J44=2),E42-C44)+IF(AND(J42=2,J45=2),F42-C45)+IF(AND(J42=2,J46=2),G42-C46)+IF(AND(J42=3,J43=3),D42-C43)+IF(AND(J42=3,J44=3),E42-C44)+IF(AND(J42=3,J45=3),F42-C45)+IF(AND(J42=3,J46=3),G42-C46)</f>
        <v>0</v>
      </c>
      <c r="M42" s="515">
        <f>10000*J42+K42*100+L42</f>
        <v>0</v>
      </c>
      <c r="N42" s="668"/>
    </row>
    <row r="43" spans="1:14" s="498" customFormat="1" hidden="1" x14ac:dyDescent="0.2">
      <c r="A43" s="500">
        <v>2</v>
      </c>
      <c r="B43" s="518"/>
      <c r="C43" s="510"/>
      <c r="D43" s="509"/>
      <c r="E43" s="510"/>
      <c r="F43" s="510"/>
      <c r="G43" s="510"/>
      <c r="H43" s="511" t="str">
        <f>(IF(C43-D42&gt;0,1)+IF(E43-D44&gt;0,1)+IF(F43-D45&gt;0,1)+IF(G43-D46&gt;0,1))&amp;"-"&amp;(IF(C43-D42&lt;0,1)+IF(E43-D44&lt;0,1)+IF(F43-D45&lt;0,1)+IF(G43-D46&lt;0,1))</f>
        <v>0-0</v>
      </c>
      <c r="I43" s="510" t="str">
        <f>IF(AND(B43&lt;&gt;"",M$42=TRUE),A$42&amp;RANK(M43,M$43:VM$47,0),"")</f>
        <v/>
      </c>
      <c r="J43" s="512">
        <f t="shared" ref="J43:J46" si="10">VALUE(LEFT(H43,1))</f>
        <v>0</v>
      </c>
      <c r="K43" s="639">
        <f>IF(AND(J43=1,J42=1,C43&gt;D42),1)+IF(AND(J43=1,J44=1,E43&gt;D44),1)+IF(AND(J43=1,J45=1,F43&gt;D45),1)+IF(AND(J43=1,J46=1,G43&gt;D46),1)+IF(AND(J43=2,J42=2,C43&gt;D42),1)+IF(AND(J43=2,J44=2,E43&gt;D44),1)+IF(AND(J43=2,J45=2,F43&gt;D45),1)+IF(AND(J43=2,J46=2,G43&gt;D46),1)+IF(AND(J43=3,J42=3,C43&gt;D42),1)+IF(AND(J43=3,J44=3,E43&gt;D44),1)+IF(AND(J43=3,J45=3,F43&gt;D45),1)+IF(AND(J43=3,J46=3,G43&gt;D46),1)</f>
        <v>0</v>
      </c>
      <c r="L43" s="1305">
        <f>IF(AND(J43=1,J42=1),C43-D42)+IF(AND(J43=1,J44=1),E43-D44)+IF(AND(J43=1,J45=1),F43-D45)+IF(AND(J43=1,J46=1),G43-D46)+IF(AND(J43=2,J42=2),C43-D42)+IF(AND(J43=2,J44=2),E43-D44)+IF(AND(J43=2,J45=2),F43-D45)+IF(AND(J43=2,J46=2),G43-D46)+IF(AND(J43=3,J42=3),C43-D42)+IF(AND(J43=3,J44=3),E43-D44)+IF(AND(J43=3,J45=3),F43-D45)+IF(AND(J43=3,J46=3),G43-D46)</f>
        <v>0</v>
      </c>
      <c r="M43" s="515">
        <f t="shared" ref="M43:M46" si="11">10000*J43+K43*100+L43</f>
        <v>0</v>
      </c>
      <c r="N43" s="668"/>
    </row>
    <row r="44" spans="1:14" s="498" customFormat="1" hidden="1" x14ac:dyDescent="0.2">
      <c r="A44" s="500">
        <v>3</v>
      </c>
      <c r="B44" s="518"/>
      <c r="C44" s="510"/>
      <c r="D44" s="520"/>
      <c r="E44" s="509"/>
      <c r="F44" s="510"/>
      <c r="G44" s="510"/>
      <c r="H44" s="511" t="str">
        <f>(IF(C44-E42&gt;0,1)+IF(D44-E43&gt;0,1)+IF(F44-E45&gt;0,1)+IF(G44-E46&gt;0,1))&amp;"-"&amp;(IF(C44-E42&lt;0,1)+IF(D44-E43&lt;0,1)+IF(F44-E45&lt;0,1)+IF(G44-E46&lt;0,1))</f>
        <v>0-0</v>
      </c>
      <c r="I44" s="510" t="str">
        <f>IF(AND(B44&lt;&gt;"",M$42=TRUE),A$42&amp;RANK(M44,M$43:VM$47,0),"")</f>
        <v/>
      </c>
      <c r="J44" s="512">
        <f t="shared" si="10"/>
        <v>0</v>
      </c>
      <c r="K44" s="639">
        <f>IF(AND(J44=1,J42=1,C44&gt;E42),1)+IF(AND(J44=1,J43=1,D44&gt;E43),1)+IF(AND(J44=1,J45=1,F44&gt;E45),1)+IF(AND(J44=1,J46=1,G44&gt;E46),1)+IF(AND(J44=2,J42=2,C44&gt;E42),1)+IF(AND(J44=2,J43=2,D44&gt;E43),1)+IF(AND(J44=2,J45=2,F44&gt;E45),1)+IF(AND(J44=2,J46=2,G44&gt;E46),1)+IF(AND(J44=3,J42=3,C44&gt;E42),1)+IF(AND(J44=3,J43=3,D44&gt;E43),1)+IF(AND(J44=3,J45=3,F44&gt;E45),1)+IF(AND(J44=3,J46=3,G44&gt;E46),1)</f>
        <v>0</v>
      </c>
      <c r="L44" s="1305">
        <f>IF(AND(J44=1,J42=1),C44-E42)+IF(AND(J44=1,J43=1),D44-E43)+IF(AND(J44=1,J45=1),F44-E45)+IF(AND(J44=1,J46=1),G44-E46)+IF(AND(J44=2,J42=2),C44-E42)+IF(AND(J44=2,J43=2),D44-E43)+IF(AND(J44=2,J45=2),F44-E45)+IF(AND(J44=2,J46=2),G44-E46)+IF(AND(J44=3,J42=3),C44-E42)+IF(AND(J44=3,J43=3),D44-E43)+IF(AND(J44=3,J45=3),F44-E45)+IF(AND(J44=3,J46=3),G44-E46)</f>
        <v>0</v>
      </c>
      <c r="M44" s="515">
        <f t="shared" si="11"/>
        <v>0</v>
      </c>
      <c r="N44" s="668"/>
    </row>
    <row r="45" spans="1:14" s="498" customFormat="1" hidden="1" x14ac:dyDescent="0.2">
      <c r="A45" s="500">
        <v>4</v>
      </c>
      <c r="B45" s="521"/>
      <c r="C45" s="510"/>
      <c r="D45" s="520"/>
      <c r="E45" s="510"/>
      <c r="F45" s="509"/>
      <c r="G45" s="522"/>
      <c r="H45" s="511" t="str">
        <f>(IF(C45-F42&gt;0,1)+IF(D45-F43&gt;0,1)+IF(E45-F44&gt;0,1)+IF(G45-F46&gt;0,1))&amp;"-"&amp;(IF(C45-F42&lt;0,1)+IF(D45-F43&lt;0,1)+IF(E45-F44&lt;0,1)+IF(G45-F46&lt;0,1))</f>
        <v>0-0</v>
      </c>
      <c r="I45" s="510" t="str">
        <f>IF(AND(B45&lt;&gt;"",M$42=TRUE),A$42&amp;RANK(M45,M$43:VM$47,0),"")</f>
        <v/>
      </c>
      <c r="J45" s="512">
        <f t="shared" si="10"/>
        <v>0</v>
      </c>
      <c r="K45" s="639">
        <f>IF(AND(J45=1,J42=1,C45&gt;F42),1)+IF(AND(J45=1,J43=1,D45&gt;F43),1)+IF(AND(J45=1,J44=1,E45&gt;F44),1)+IF(AND(J45=1,J46=1,G45&gt;F46),1)+IF(AND(J45=2,J42=2,C45&gt;F42),1)+IF(AND(J45=2,J43=2,D45&gt;F43),1)+IF(AND(J45=2,J44=2,E45&gt;F44),1)+IF(AND(J45=2,J46=2,G45&gt;F46),1)+IF(AND(J45=3,J42=3,C45&gt;F42),1)+IF(AND(J45=3,J43=3,D45&gt;F43),1)+IF(AND(J45=3,J44=3,E45&gt;F44),1)+IF(AND(J45=3,J46=3,G45&gt;F46),1)</f>
        <v>0</v>
      </c>
      <c r="L45" s="1305">
        <f>IF(AND(J45=1,J42=1),C45-F42)+IF(AND(J45=1,J43=1),D45-F43)+IF(AND(J45=1,J44=1),E45-F44)+IF(AND(J45=1,J46=1),G45-F46)+IF(AND(J45=2,J42=2),C45-F42)+IF(AND(J45=2,J43=2),D45-F43)+IF(AND(J45=2,J44=2),E45-F44)+IF(AND(J45=2,J46=2),G45-F46)+IF(AND(J45=3,J42=3),C45-F42)+IF(AND(J45=3,J43=3),D45-F43)+IF(AND(J45=3,J44=3),E45-F44)+IF(AND(J45=3,J46=3),G45-F46)</f>
        <v>0</v>
      </c>
      <c r="M45" s="515">
        <f t="shared" si="11"/>
        <v>0</v>
      </c>
      <c r="N45" s="668"/>
    </row>
    <row r="46" spans="1:14" s="498" customFormat="1" hidden="1" x14ac:dyDescent="0.2">
      <c r="A46" s="500">
        <v>5</v>
      </c>
      <c r="B46" s="521"/>
      <c r="C46" s="510"/>
      <c r="D46" s="510"/>
      <c r="E46" s="510"/>
      <c r="F46" s="510"/>
      <c r="G46" s="509"/>
      <c r="H46" s="511" t="str">
        <f>(IF(C46-G42&gt;0,1)+IF(D46-G43&gt;0,1)+IF(E46-G44&gt;0,1)+IF(F46-G45&gt;0,1))&amp;"-"&amp;(IF(C46-G42&lt;0,1)+IF(D46-G43&lt;0,1)+IF(E46-G44&lt;0,1)+IF(F46-G45&lt;0,1))</f>
        <v>0-0</v>
      </c>
      <c r="I46" s="510" t="str">
        <f>IF(AND(B46&lt;&gt;"",M$42=TRUE),A$42&amp;RANK(M46,M$43:VM$47,0),"")</f>
        <v/>
      </c>
      <c r="J46" s="512">
        <f t="shared" si="10"/>
        <v>0</v>
      </c>
      <c r="K46" s="639">
        <f>IF(AND(J46=1,J42=1,C46&gt;G42),1)+IF(AND(J46=1,J43=1,D46&gt;G43),1)+IF(AND(J46=1,J44=1,E46&gt;G44),1)+IF(AND(J46=1,J45=1,F46&gt;G45),1)+IF(AND(J46=2,J42=2,C46&gt;G42),1)+IF(AND(J46=2,J43=2,D46&gt;G43),1)+IF(AND(J46=2,J44=2,E46&gt;G44),1)+IF(AND(J46=2,J45=2,F46&gt;G45),1)+IF(AND(J46=3,J42=3,C46&gt;G42),1)+IF(AND(J46=3,J43=3,D46&gt;G43),1)+IF(AND(J46=3,J44=3,E46&gt;G44),1)+IF(AND(J46=3,J45=3,F46&gt;G45),1)</f>
        <v>0</v>
      </c>
      <c r="L46" s="1305">
        <f>IF(AND(J46=1,J42=1),C46-G42)+IF(AND(J46=1,J43=1),D46-G43)+IF(AND(J46=1,J44=1),E46-G44)+IF(AND(J46=1,J45=1),F46-G45)+IF(AND(J46=2,J42=2),C46-G42)+IF(AND(J46=2,J43=2),D46-G43)+IF(AND(J46=2,J44=2),E46-G44)+IF(AND(J46=2,J45=2),F46-G45)+IF(AND(J46=3,J42=3),C46-G42)+IF(AND(J46=3,J43=3),D46-G43)+IF(AND(J46=3,J44=3),E46-G44)+IF(AND(J46=3,J45=3),F46-G45)</f>
        <v>0</v>
      </c>
      <c r="M46" s="515">
        <f t="shared" si="11"/>
        <v>0</v>
      </c>
      <c r="N46" s="668"/>
    </row>
    <row r="47" spans="1:14" s="506" customFormat="1" hidden="1" x14ac:dyDescent="0.2">
      <c r="A47" s="523"/>
      <c r="B47" s="524"/>
      <c r="C47" s="525"/>
      <c r="D47" s="526"/>
      <c r="E47" s="525"/>
      <c r="F47" s="527"/>
      <c r="H47" s="528"/>
      <c r="I47" s="529"/>
      <c r="J47" s="496"/>
      <c r="K47" s="537"/>
      <c r="L47" s="531"/>
      <c r="M47" s="496"/>
      <c r="N47" s="668"/>
    </row>
    <row r="48" spans="1:14" s="498" customFormat="1" hidden="1" x14ac:dyDescent="0.2">
      <c r="A48" s="500" t="s">
        <v>146</v>
      </c>
      <c r="B48" s="501"/>
      <c r="C48" s="502">
        <v>1</v>
      </c>
      <c r="D48" s="502">
        <v>2</v>
      </c>
      <c r="E48" s="502">
        <v>3</v>
      </c>
      <c r="F48" s="502">
        <v>4</v>
      </c>
      <c r="G48" s="502"/>
      <c r="H48" s="501" t="s">
        <v>363</v>
      </c>
      <c r="I48" s="501" t="s">
        <v>26</v>
      </c>
      <c r="J48" s="533" t="s">
        <v>156</v>
      </c>
      <c r="K48" s="504" t="s">
        <v>156</v>
      </c>
      <c r="L48" s="534" t="s">
        <v>364</v>
      </c>
      <c r="M48" s="535" t="b">
        <f>OR(AND(COUNTA(B49:B53)=3,COUNTA(C49:G53)=6),AND(COUNTA(B49:B53)=4,COUNTA(C49:G53)=12),AND(COUNTA(B49:B53)=5,COUNTA(C49:G53)=20))</f>
        <v>0</v>
      </c>
      <c r="N48" s="668"/>
    </row>
    <row r="49" spans="1:14" s="498" customFormat="1" hidden="1" x14ac:dyDescent="0.2">
      <c r="A49" s="500">
        <v>1</v>
      </c>
      <c r="B49" s="508"/>
      <c r="C49" s="509"/>
      <c r="D49" s="510"/>
      <c r="E49" s="510"/>
      <c r="F49" s="510"/>
      <c r="G49" s="510"/>
      <c r="H49" s="511" t="str">
        <f>(IF(D49-C50&gt;0,1)+IF(E49-C51&gt;0,1)+IF(F49-C52&gt;0,1)+IF(G49-C53&gt;0,1))&amp;"-"&amp;(IF(D49-C50&lt;0,1)+IF(E49-C51&lt;0,1)+IF(F49-C52&lt;0,1)+IF(G49-C53&lt;0,1))</f>
        <v>0-0</v>
      </c>
      <c r="I49" s="510" t="str">
        <f>IF(AND(B49&lt;&gt;"",M$49=TRUE),A$49&amp;RANK(M49,M$50:M$54,0),"")</f>
        <v/>
      </c>
      <c r="J49" s="512">
        <f>VALUE(LEFT(H49,1))</f>
        <v>0</v>
      </c>
      <c r="K49" s="513">
        <f>IF(AND(J49=1,J50=1,D49&gt;C50),1)+IF(AND(J49=1,J51=1,E49&gt;C51),1)+IF(AND(J49=1,J52=1,F49&gt;C52),1)+IF(AND(J49=1,J53=1,G49&gt;C53),1)+IF(AND(J49=2,J50=2,D49&gt;C50),1)+IF(AND(J49=2,J51=2,E49&gt;C51),1)+IF(AND(J49=2,J52=2,F49&gt;C52),1)+IF(AND(J49=2,J53=2,G49&gt;C53),1)+IF(AND(J49=3,J50=3,D49&gt;C50),1)+IF(AND(J49=3,J51=3,E49&gt;C51),1)+IF(AND(J49=3,J52=3,F49&gt;C52),1)+IF(AND(J49=3,J53=3,G49&gt;C53),1)</f>
        <v>0</v>
      </c>
      <c r="L49" s="1305">
        <f>IF(AND(J49=1,J50=1),D49-C50)+IF(AND(J49=1,J51=1),E49-C51)+IF(AND(J49=1,J52=1),F49-C52)+IF(AND(J49=1,J53=1),G49-C53)+IF(AND(J49=2,J50=2),D49-C50)+IF(AND(J49=2,J51=2),E49-C51)+IF(AND(J49=2,J52=2),F49-C52)+IF(AND(J49=2,J53=2),G49-C53)+IF(AND(J49=3,J50=3),D49-C50)+IF(AND(J49=3,J51=3),E49-C51)+IF(AND(J49=3,J52=3),F49-C52)+IF(AND(J49=3,J53=3),G49-C53)</f>
        <v>0</v>
      </c>
      <c r="M49" s="515">
        <f>10000*J49+K49*100+L49</f>
        <v>0</v>
      </c>
      <c r="N49" s="668"/>
    </row>
    <row r="50" spans="1:14" s="498" customFormat="1" hidden="1" x14ac:dyDescent="0.2">
      <c r="A50" s="500">
        <v>2</v>
      </c>
      <c r="B50" s="518"/>
      <c r="C50" s="510"/>
      <c r="D50" s="509"/>
      <c r="E50" s="510"/>
      <c r="F50" s="510"/>
      <c r="G50" s="510"/>
      <c r="H50" s="511" t="str">
        <f>(IF(C50-D49&gt;0,1)+IF(E50-D51&gt;0,1)+IF(F50-D52&gt;0,1)+IF(G50-D53&gt;0,1))&amp;"-"&amp;(IF(C50-D49&lt;0,1)+IF(E50-D51&lt;0,1)+IF(F50-D52&lt;0,1)+IF(G50-D53&lt;0,1))</f>
        <v>0-0</v>
      </c>
      <c r="I50" s="510" t="str">
        <f>IF(AND(B50&lt;&gt;"",M$49=TRUE),A$49&amp;RANK(M50,M$50:M$54,0),"")</f>
        <v/>
      </c>
      <c r="J50" s="512">
        <f t="shared" ref="J50:J53" si="12">VALUE(LEFT(H50,1))</f>
        <v>0</v>
      </c>
      <c r="K50" s="639">
        <f>IF(AND(J50=1,J49=1,C50&gt;D49),1)+IF(AND(J50=1,J51=1,E50&gt;D51),1)+IF(AND(J50=1,J52=1,F50&gt;D52),1)+IF(AND(J50=1,J53=1,G50&gt;D53),1)+IF(AND(J50=2,J49=2,C50&gt;D49),1)+IF(AND(J50=2,J51=2,E50&gt;D51),1)+IF(AND(J50=2,J52=2,F50&gt;D52),1)+IF(AND(J50=2,J53=2,G50&gt;D53),1)+IF(AND(J50=3,J49=3,C50&gt;D49),1)+IF(AND(J50=3,J51=3,E50&gt;D51),1)+IF(AND(J50=3,J52=3,F50&gt;D52),1)+IF(AND(J50=3,J53=3,G50&gt;D53),1)</f>
        <v>0</v>
      </c>
      <c r="L50" s="1305">
        <f>IF(AND(J50=1,J49=1),C50-D49)+IF(AND(J50=1,J51=1),E50-D51)+IF(AND(J50=1,J52=1),F50-D52)+IF(AND(J50=1,J53=1),G50-D53)+IF(AND(J50=2,J49=2),C50-D49)+IF(AND(J50=2,J51=2),E50-D51)+IF(AND(J50=2,J52=2),F50-D52)+IF(AND(J50=2,J53=2),G50-D53)+IF(AND(J50=3,J49=3),C50-D49)+IF(AND(J50=3,J51=3),E50-D51)+IF(AND(J50=3,J52=3),F50-D52)+IF(AND(J50=3,J53=3),G50-D53)</f>
        <v>0</v>
      </c>
      <c r="M50" s="515">
        <f t="shared" ref="M50:M53" si="13">10000*J50+K50*100+L50</f>
        <v>0</v>
      </c>
      <c r="N50" s="668"/>
    </row>
    <row r="51" spans="1:14" s="498" customFormat="1" hidden="1" x14ac:dyDescent="0.2">
      <c r="A51" s="500">
        <v>3</v>
      </c>
      <c r="B51" s="518"/>
      <c r="C51" s="510"/>
      <c r="D51" s="520"/>
      <c r="E51" s="509"/>
      <c r="F51" s="510"/>
      <c r="G51" s="510"/>
      <c r="H51" s="511" t="str">
        <f>(IF(C51-E49&gt;0,1)+IF(D51-E50&gt;0,1)+IF(F51-E52&gt;0,1)+IF(G51-E53&gt;0,1))&amp;"-"&amp;(IF(C51-E49&lt;0,1)+IF(D51-E50&lt;0,1)+IF(F51-E52&lt;0,1)+IF(G51-E53&lt;0,1))</f>
        <v>0-0</v>
      </c>
      <c r="I51" s="510" t="str">
        <f>IF(AND(B51&lt;&gt;"",M$49=TRUE),A$49&amp;RANK(M51,M$50:M$54,0),"")</f>
        <v/>
      </c>
      <c r="J51" s="512">
        <f t="shared" si="12"/>
        <v>0</v>
      </c>
      <c r="K51" s="639">
        <f>IF(AND(J51=1,J49=1,C51&gt;E49),1)+IF(AND(J51=1,J50=1,D51&gt;E50),1)+IF(AND(J51=1,J52=1,F51&gt;E52),1)+IF(AND(J51=1,J53=1,G51&gt;E53),1)+IF(AND(J51=2,J49=2,C51&gt;E49),1)+IF(AND(J51=2,J50=2,D51&gt;E50),1)+IF(AND(J51=2,J52=2,F51&gt;E52),1)+IF(AND(J51=2,J53=2,G51&gt;E53),1)+IF(AND(J51=3,J49=3,C51&gt;E49),1)+IF(AND(J51=3,J50=3,D51&gt;E50),1)+IF(AND(J51=3,J52=3,F51&gt;E52),1)+IF(AND(J51=3,J53=3,G51&gt;E53),1)</f>
        <v>0</v>
      </c>
      <c r="L51" s="1305">
        <f>IF(AND(J51=1,J49=1),C51-E49)+IF(AND(J51=1,J50=1),D51-E50)+IF(AND(J51=1,J52=1),F51-E52)+IF(AND(J51=1,J53=1),G51-E53)+IF(AND(J51=2,J49=2),C51-E49)+IF(AND(J51=2,J50=2),D51-E50)+IF(AND(J51=2,J52=2),F51-E52)+IF(AND(J51=2,J53=2),G51-E53)+IF(AND(J51=3,J49=3),C51-E49)+IF(AND(J51=3,J50=3),D51-E50)+IF(AND(J51=3,J52=3),F51-E52)+IF(AND(J51=3,J53=3),G51-E53)</f>
        <v>0</v>
      </c>
      <c r="M51" s="515">
        <f t="shared" si="13"/>
        <v>0</v>
      </c>
      <c r="N51" s="668"/>
    </row>
    <row r="52" spans="1:14" s="498" customFormat="1" hidden="1" x14ac:dyDescent="0.2">
      <c r="A52" s="500">
        <v>4</v>
      </c>
      <c r="B52" s="521"/>
      <c r="C52" s="510"/>
      <c r="D52" s="520"/>
      <c r="E52" s="510"/>
      <c r="F52" s="509"/>
      <c r="G52" s="522"/>
      <c r="H52" s="511" t="str">
        <f>(IF(C52-F49&gt;0,1)+IF(D52-F50&gt;0,1)+IF(E52-F51&gt;0,1)+IF(G52-F53&gt;0,1))&amp;"-"&amp;(IF(C52-F49&lt;0,1)+IF(D52-F50&lt;0,1)+IF(E52-F51&lt;0,1)+IF(G52-F53&lt;0,1))</f>
        <v>0-0</v>
      </c>
      <c r="I52" s="510" t="str">
        <f>IF(AND(B52&lt;&gt;"",M$49=TRUE),A$49&amp;RANK(M52,M$50:M$54,0),"")</f>
        <v/>
      </c>
      <c r="J52" s="512">
        <f t="shared" si="12"/>
        <v>0</v>
      </c>
      <c r="K52" s="639">
        <f>IF(AND(J52=1,J49=1,C52&gt;F49),1)+IF(AND(J52=1,J50=1,D52&gt;F50),1)+IF(AND(J52=1,J51=1,E52&gt;F51),1)+IF(AND(J52=1,J53=1,G52&gt;F53),1)+IF(AND(J52=2,J49=2,C52&gt;F49),1)+IF(AND(J52=2,J50=2,D52&gt;F50),1)+IF(AND(J52=2,J51=2,E52&gt;F51),1)+IF(AND(J52=2,J53=2,G52&gt;F53),1)+IF(AND(J52=3,J49=3,C52&gt;F49),1)+IF(AND(J52=3,J50=3,D52&gt;F50),1)+IF(AND(J52=3,J51=3,E52&gt;F51),1)+IF(AND(J52=3,J53=3,G52&gt;F53),1)</f>
        <v>0</v>
      </c>
      <c r="L52" s="1305">
        <f>IF(AND(J52=1,J49=1),C52-F49)+IF(AND(J52=1,J50=1),D52-F50)+IF(AND(J52=1,J51=1),E52-F51)+IF(AND(J52=1,J53=1),G52-F53)+IF(AND(J52=2,J49=2),C52-F49)+IF(AND(J52=2,J50=2),D52-F50)+IF(AND(J52=2,J51=2),E52-F51)+IF(AND(J52=2,J53=2),G52-F53)+IF(AND(J52=3,J49=3),C52-F49)+IF(AND(J52=3,J50=3),D52-F50)+IF(AND(J52=3,J51=3),E52-F51)+IF(AND(J52=3,J53=3),G52-F53)</f>
        <v>0</v>
      </c>
      <c r="M52" s="515">
        <f t="shared" si="13"/>
        <v>0</v>
      </c>
      <c r="N52" s="668"/>
    </row>
    <row r="53" spans="1:14" s="498" customFormat="1" hidden="1" x14ac:dyDescent="0.2">
      <c r="A53" s="500">
        <v>5</v>
      </c>
      <c r="B53" s="521"/>
      <c r="C53" s="510"/>
      <c r="D53" s="510"/>
      <c r="E53" s="510"/>
      <c r="F53" s="510"/>
      <c r="G53" s="509"/>
      <c r="H53" s="511" t="str">
        <f>(IF(C53-G49&gt;0,1)+IF(D53-G50&gt;0,1)+IF(E53-G51&gt;0,1)+IF(F53-G52&gt;0,1))&amp;"-"&amp;(IF(C53-G49&lt;0,1)+IF(D53-G50&lt;0,1)+IF(E53-G51&lt;0,1)+IF(F53-G52&lt;0,1))</f>
        <v>0-0</v>
      </c>
      <c r="I53" s="510" t="str">
        <f>IF(AND(B53&lt;&gt;"",M$49=TRUE),A$49&amp;RANK(M53,M$50:M$54,0),"")</f>
        <v/>
      </c>
      <c r="J53" s="512">
        <f t="shared" si="12"/>
        <v>0</v>
      </c>
      <c r="K53" s="639">
        <f>IF(AND(J53=1,J49=1,C53&gt;G49),1)+IF(AND(J53=1,J50=1,D53&gt;G50),1)+IF(AND(J53=1,J51=1,E53&gt;G51),1)+IF(AND(J53=1,J52=1,F53&gt;G52),1)+IF(AND(J53=2,J49=2,C53&gt;G49),1)+IF(AND(J53=2,J50=2,D53&gt;G50),1)+IF(AND(J53=2,J51=2,E53&gt;G51),1)+IF(AND(J53=2,J52=2,F53&gt;G52),1)+IF(AND(J53=3,J49=3,C53&gt;G49),1)+IF(AND(J53=3,J50=3,D53&gt;G50),1)+IF(AND(J53=3,J51=3,E53&gt;G51),1)+IF(AND(J53=3,J52=3,F53&gt;G52),1)</f>
        <v>0</v>
      </c>
      <c r="L53" s="1305">
        <f>IF(AND(J53=1,J49=1),C53-G49)+IF(AND(J53=1,J50=1),D53-G50)+IF(AND(J53=1,J51=1),E53-G51)+IF(AND(J53=1,J52=1),F53-G52)+IF(AND(J53=2,J49=2),C53-G49)+IF(AND(J53=2,J50=2),D53-G50)+IF(AND(J53=2,J51=2),E53-G51)+IF(AND(J53=2,J52=2),F53-G52)+IF(AND(J53=3,J49=3),C53-G49)+IF(AND(J53=3,J50=3),D53-G50)+IF(AND(J53=3,J51=3),E53-G51)+IF(AND(J53=3,J52=3),F53-G52)</f>
        <v>0</v>
      </c>
      <c r="M53" s="515">
        <f t="shared" si="13"/>
        <v>0</v>
      </c>
      <c r="N53" s="668"/>
    </row>
    <row r="54" spans="1:14" s="498" customFormat="1" hidden="1" x14ac:dyDescent="0.2">
      <c r="A54" s="538"/>
      <c r="B54" s="539"/>
      <c r="C54" s="540"/>
      <c r="D54" s="540"/>
      <c r="E54" s="540"/>
      <c r="F54" s="641"/>
      <c r="G54" s="641"/>
      <c r="H54" s="541"/>
      <c r="I54" s="542"/>
      <c r="J54" s="642"/>
      <c r="K54" s="530"/>
      <c r="L54" s="643"/>
      <c r="M54" s="642"/>
      <c r="N54" s="668"/>
    </row>
    <row r="55" spans="1:14" s="506" customFormat="1" hidden="1" x14ac:dyDescent="0.2">
      <c r="A55" s="500" t="s">
        <v>147</v>
      </c>
      <c r="B55" s="501"/>
      <c r="C55" s="502">
        <v>1</v>
      </c>
      <c r="D55" s="502">
        <v>2</v>
      </c>
      <c r="E55" s="502">
        <v>3</v>
      </c>
      <c r="F55" s="502">
        <v>4</v>
      </c>
      <c r="G55" s="502"/>
      <c r="H55" s="501" t="s">
        <v>363</v>
      </c>
      <c r="I55" s="501" t="s">
        <v>26</v>
      </c>
      <c r="J55" s="533" t="s">
        <v>156</v>
      </c>
      <c r="K55" s="504" t="s">
        <v>156</v>
      </c>
      <c r="L55" s="534" t="s">
        <v>364</v>
      </c>
      <c r="M55" s="535" t="b">
        <f>OR(AND(COUNTA(B56:B60)=3,COUNTA(C56:G60)=6),AND(COUNTA(B56:B60)=4,COUNTA(C56:G60)=12),AND(COUNTA(B56:B60)=5,COUNTA(C56:G60)=20))</f>
        <v>0</v>
      </c>
      <c r="N55" s="668"/>
    </row>
    <row r="56" spans="1:14" s="506" customFormat="1" hidden="1" x14ac:dyDescent="0.2">
      <c r="A56" s="500">
        <v>1</v>
      </c>
      <c r="B56" s="508"/>
      <c r="C56" s="509"/>
      <c r="D56" s="510"/>
      <c r="E56" s="510"/>
      <c r="F56" s="510"/>
      <c r="G56" s="510"/>
      <c r="H56" s="511" t="str">
        <f>(IF(D56-C57&gt;0,1)+IF(E56-C58&gt;0,1)+IF(F56-C59&gt;0,1)+IF(G56-C60&gt;0,1))&amp;"-"&amp;(IF(D56-C57&lt;0,1)+IF(E56-C58&lt;0,1)+IF(F56-C59&lt;0,1)+IF(G56-C60&lt;0,1))</f>
        <v>0-0</v>
      </c>
      <c r="I56" s="510" t="str">
        <f>IF(AND(B56&lt;&gt;"",M$56=TRUE),A$56&amp;RANK(M56,M$57:M$61,0),"")</f>
        <v/>
      </c>
      <c r="J56" s="512">
        <f>VALUE(LEFT(H56,1))</f>
        <v>0</v>
      </c>
      <c r="K56" s="513">
        <f>IF(AND(J56=1,J57=1,D56&gt;C57),1)+IF(AND(J56=1,J58=1,E56&gt;C58),1)+IF(AND(J56=1,J59=1,F56&gt;C59),1)+IF(AND(J56=1,J60=1,G56&gt;C60),1)+IF(AND(J56=2,J57=2,D56&gt;C57),1)+IF(AND(J56=2,J58=2,E56&gt;C58),1)+IF(AND(J56=2,J59=2,F56&gt;C59),1)+IF(AND(J56=2,J60=2,G56&gt;C60),1)+IF(AND(J56=3,J57=3,D56&gt;C57),1)+IF(AND(J56=3,J58=3,E56&gt;C58),1)+IF(AND(J56=3,J59=3,F56&gt;C59),1)+IF(AND(J56=3,J60=3,G56&gt;C60),1)</f>
        <v>0</v>
      </c>
      <c r="L56" s="1305">
        <f>IF(AND(J56=1,J57=1),D56-C57)+IF(AND(J56=1,J58=1),E56-C58)+IF(AND(J56=1,J59=1),F56-C59)+IF(AND(J56=1,J60=1),G56-C60)+IF(AND(J56=2,J57=2),D56-C57)+IF(AND(J56=2,J58=2),E56-C58)+IF(AND(J56=2,J59=2),F56-C59)+IF(AND(J56=2,J60=2),G56-C60)+IF(AND(J56=3,J57=3),D56-C57)+IF(AND(J56=3,J58=3),E56-C58)+IF(AND(J56=3,J59=3),F56-C59)+IF(AND(J56=3,J60=3),G56-C60)</f>
        <v>0</v>
      </c>
      <c r="M56" s="515">
        <f>10000*J56+K56*100+L56</f>
        <v>0</v>
      </c>
      <c r="N56" s="668"/>
    </row>
    <row r="57" spans="1:14" s="506" customFormat="1" hidden="1" x14ac:dyDescent="0.2">
      <c r="A57" s="500">
        <v>2</v>
      </c>
      <c r="B57" s="518"/>
      <c r="C57" s="510"/>
      <c r="D57" s="509"/>
      <c r="E57" s="510"/>
      <c r="F57" s="510"/>
      <c r="G57" s="510"/>
      <c r="H57" s="511" t="str">
        <f>(IF(C57-D56&gt;0,1)+IF(E57-D58&gt;0,1)+IF(F57-D59&gt;0,1)+IF(G57-D60&gt;0,1))&amp;"-"&amp;(IF(C57-D56&lt;0,1)+IF(E57-D58&lt;0,1)+IF(F57-D59&lt;0,1)+IF(G57-D60&lt;0,1))</f>
        <v>0-0</v>
      </c>
      <c r="I57" s="510" t="str">
        <f>IF(AND(B57&lt;&gt;"",M$56=TRUE),A$56&amp;RANK(M57,M$57:M$61,0),"")</f>
        <v/>
      </c>
      <c r="J57" s="512">
        <f t="shared" ref="J57:J60" si="14">VALUE(LEFT(H57,1))</f>
        <v>0</v>
      </c>
      <c r="K57" s="639">
        <f>IF(AND(J57=1,J56=1,C57&gt;D56),1)+IF(AND(J57=1,J58=1,E57&gt;D58),1)+IF(AND(J57=1,J59=1,F57&gt;D59),1)+IF(AND(J57=1,J60=1,G57&gt;D60),1)+IF(AND(J57=2,J56=2,C57&gt;D56),1)+IF(AND(J57=2,J58=2,E57&gt;D58),1)+IF(AND(J57=2,J59=2,F57&gt;D59),1)+IF(AND(J57=2,J60=2,G57&gt;D60),1)+IF(AND(J57=3,J56=3,C57&gt;D56),1)+IF(AND(J57=3,J58=3,E57&gt;D58),1)+IF(AND(J57=3,J59=3,F57&gt;D59),1)+IF(AND(J57=3,J60=3,G57&gt;D60),1)</f>
        <v>0</v>
      </c>
      <c r="L57" s="1305">
        <f>IF(AND(J57=1,J56=1),C57-D56)+IF(AND(J57=1,J58=1),E57-D58)+IF(AND(J57=1,J59=1),F57-D59)+IF(AND(J57=1,J60=1),G57-D60)+IF(AND(J57=2,J56=2),C57-D56)+IF(AND(J57=2,J58=2),E57-D58)+IF(AND(J57=2,J59=2),F57-D59)+IF(AND(J57=2,J60=2),G57-D60)+IF(AND(J57=3,J56=3),C57-D56)+IF(AND(J57=3,J58=3),E57-D58)+IF(AND(J57=3,J59=3),F57-D59)+IF(AND(J57=3,J60=3),G57-D60)</f>
        <v>0</v>
      </c>
      <c r="M57" s="515">
        <f t="shared" ref="M57:M60" si="15">10000*J57+K57*100+L57</f>
        <v>0</v>
      </c>
      <c r="N57" s="668"/>
    </row>
    <row r="58" spans="1:14" s="506" customFormat="1" hidden="1" x14ac:dyDescent="0.2">
      <c r="A58" s="500">
        <v>3</v>
      </c>
      <c r="B58" s="518"/>
      <c r="C58" s="510"/>
      <c r="D58" s="520"/>
      <c r="E58" s="509"/>
      <c r="F58" s="510"/>
      <c r="G58" s="510"/>
      <c r="H58" s="511" t="str">
        <f>(IF(C58-E56&gt;0,1)+IF(D58-E57&gt;0,1)+IF(F58-E59&gt;0,1)+IF(G58-E60&gt;0,1))&amp;"-"&amp;(IF(C58-E56&lt;0,1)+IF(D58-E57&lt;0,1)+IF(F58-E59&lt;0,1)+IF(G58-E60&lt;0,1))</f>
        <v>0-0</v>
      </c>
      <c r="I58" s="510" t="str">
        <f>IF(AND(B58&lt;&gt;"",M$56=TRUE),A$56&amp;RANK(M58,M$57:M$61,0),"")</f>
        <v/>
      </c>
      <c r="J58" s="512">
        <f t="shared" si="14"/>
        <v>0</v>
      </c>
      <c r="K58" s="639">
        <f>IF(AND(J58=1,J56=1,C58&gt;E56),1)+IF(AND(J58=1,J57=1,D58&gt;E57),1)+IF(AND(J58=1,J59=1,F58&gt;E59),1)+IF(AND(J58=1,J60=1,G58&gt;E60),1)+IF(AND(J58=2,J56=2,C58&gt;E56),1)+IF(AND(J58=2,J57=2,D58&gt;E57),1)+IF(AND(J58=2,J59=2,F58&gt;E59),1)+IF(AND(J58=2,J60=2,G58&gt;E60),1)+IF(AND(J58=3,J56=3,C58&gt;E56),1)+IF(AND(J58=3,J57=3,D58&gt;E57),1)+IF(AND(J58=3,J59=3,F58&gt;E59),1)+IF(AND(J58=3,J60=3,G58&gt;E60),1)</f>
        <v>0</v>
      </c>
      <c r="L58" s="1305">
        <f>IF(AND(J58=1,J56=1),C58-E56)+IF(AND(J58=1,J57=1),D58-E57)+IF(AND(J58=1,J59=1),F58-E59)+IF(AND(J58=1,J60=1),G58-E60)+IF(AND(J58=2,J56=2),C58-E56)+IF(AND(J58=2,J57=2),D58-E57)+IF(AND(J58=2,J59=2),F58-E59)+IF(AND(J58=2,J60=2),G58-E60)+IF(AND(J58=3,J56=3),C58-E56)+IF(AND(J58=3,J57=3),D58-E57)+IF(AND(J58=3,J59=3),F58-E59)+IF(AND(J58=3,J60=3),G58-E60)</f>
        <v>0</v>
      </c>
      <c r="M58" s="515">
        <f t="shared" si="15"/>
        <v>0</v>
      </c>
      <c r="N58" s="668"/>
    </row>
    <row r="59" spans="1:14" s="506" customFormat="1" hidden="1" x14ac:dyDescent="0.2">
      <c r="A59" s="500">
        <v>4</v>
      </c>
      <c r="B59" s="521"/>
      <c r="C59" s="510"/>
      <c r="D59" s="520"/>
      <c r="E59" s="510"/>
      <c r="F59" s="509"/>
      <c r="G59" s="522"/>
      <c r="H59" s="511" t="str">
        <f>(IF(C59-F56&gt;0,1)+IF(D59-F57&gt;0,1)+IF(E59-F58&gt;0,1)+IF(G59-F60&gt;0,1))&amp;"-"&amp;(IF(C59-F56&lt;0,1)+IF(D59-F57&lt;0,1)+IF(E59-F58&lt;0,1)+IF(G59-F60&lt;0,1))</f>
        <v>0-0</v>
      </c>
      <c r="I59" s="510" t="str">
        <f>IF(AND(B59&lt;&gt;"",M$56=TRUE),A$56&amp;RANK(M59,M$57:M$61,0),"")</f>
        <v/>
      </c>
      <c r="J59" s="512">
        <f t="shared" si="14"/>
        <v>0</v>
      </c>
      <c r="K59" s="639">
        <f>IF(AND(J59=1,J56=1,C59&gt;F56),1)+IF(AND(J59=1,J57=1,D59&gt;F57),1)+IF(AND(J59=1,J58=1,E59&gt;F58),1)+IF(AND(J59=1,J60=1,G59&gt;F60),1)+IF(AND(J59=2,J56=2,C59&gt;F56),1)+IF(AND(J59=2,J57=2,D59&gt;F57),1)+IF(AND(J59=2,J58=2,E59&gt;F58),1)+IF(AND(J59=2,J60=2,G59&gt;F60),1)+IF(AND(J59=3,J56=3,C59&gt;F56),1)+IF(AND(J59=3,J57=3,D59&gt;F57),1)+IF(AND(J59=3,J58=3,E59&gt;F58),1)+IF(AND(J59=3,J60=3,G59&gt;F60),1)</f>
        <v>0</v>
      </c>
      <c r="L59" s="1305">
        <f>IF(AND(J59=1,J56=1),C59-F56)+IF(AND(J59=1,J57=1),D59-F57)+IF(AND(J59=1,J58=1),E59-F58)+IF(AND(J59=1,J60=1),G59-F60)+IF(AND(J59=2,J56=2),C59-F56)+IF(AND(J59=2,J57=2),D59-F57)+IF(AND(J59=2,J58=2),E59-F58)+IF(AND(J59=2,J60=2),G59-F60)+IF(AND(J59=3,J56=3),C59-F56)+IF(AND(J59=3,J57=3),D59-F57)+IF(AND(J59=3,J58=3),E59-F58)+IF(AND(J59=3,J60=3),G59-F60)</f>
        <v>0</v>
      </c>
      <c r="M59" s="515">
        <f t="shared" si="15"/>
        <v>0</v>
      </c>
      <c r="N59" s="668"/>
    </row>
    <row r="60" spans="1:14" s="506" customFormat="1" hidden="1" x14ac:dyDescent="0.2">
      <c r="A60" s="500">
        <v>5</v>
      </c>
      <c r="B60" s="521"/>
      <c r="C60" s="510"/>
      <c r="D60" s="510"/>
      <c r="E60" s="510"/>
      <c r="F60" s="510"/>
      <c r="G60" s="509"/>
      <c r="H60" s="511" t="str">
        <f>(IF(C60-G56&gt;0,1)+IF(D60-G57&gt;0,1)+IF(E60-G58&gt;0,1)+IF(F60-G59&gt;0,1))&amp;"-"&amp;(IF(C60-G56&lt;0,1)+IF(D60-G57&lt;0,1)+IF(E60-G58&lt;0,1)+IF(F60-G59&lt;0,1))</f>
        <v>0-0</v>
      </c>
      <c r="I60" s="510" t="str">
        <f>IF(AND(B60&lt;&gt;"",M$56=TRUE),A$56&amp;RANK(M60,M$57:M$61,0),"")</f>
        <v/>
      </c>
      <c r="J60" s="512">
        <f t="shared" si="14"/>
        <v>0</v>
      </c>
      <c r="K60" s="639">
        <f>IF(AND(J60=1,J56=1,C60&gt;G56),1)+IF(AND(J60=1,J57=1,D60&gt;G57),1)+IF(AND(J60=1,J58=1,E60&gt;G58),1)+IF(AND(J60=1,J59=1,F60&gt;G59),1)+IF(AND(J60=2,J56=2,C60&gt;G56),1)+IF(AND(J60=2,J57=2,D60&gt;G57),1)+IF(AND(J60=2,J58=2,E60&gt;G58),1)+IF(AND(J60=2,J59=2,F60&gt;G59),1)+IF(AND(J60=3,J56=3,C60&gt;G56),1)+IF(AND(J60=3,J57=3,D60&gt;G57),1)+IF(AND(J60=3,J58=3,E60&gt;G58),1)+IF(AND(J60=3,J59=3,F60&gt;G59),1)</f>
        <v>0</v>
      </c>
      <c r="L60" s="1305">
        <f>IF(AND(J60=1,J56=1),C60-G56)+IF(AND(J60=1,J57=1),D60-G57)+IF(AND(J60=1,J58=1),E60-G58)+IF(AND(J60=1,J59=1),F60-G59)+IF(AND(J60=2,J56=2),C60-G56)+IF(AND(J60=2,J57=2),D60-G57)+IF(AND(J60=2,J58=2),E60-G58)+IF(AND(J60=2,J59=2),F60-G59)+IF(AND(J60=3,J56=3),C60-G56)+IF(AND(J60=3,J57=3),D60-G57)+IF(AND(J60=3,J58=3),E60-G58)+IF(AND(J60=3,J59=3),F60-G59)</f>
        <v>0</v>
      </c>
      <c r="M60" s="515">
        <f t="shared" si="15"/>
        <v>0</v>
      </c>
      <c r="N60" s="668"/>
    </row>
    <row r="61" spans="1:14" s="55" customFormat="1" hidden="1" x14ac:dyDescent="0.2">
      <c r="N61" s="668"/>
    </row>
    <row r="62" spans="1:14" s="55" customFormat="1" hidden="1" x14ac:dyDescent="0.2">
      <c r="B62" s="549" t="s">
        <v>16</v>
      </c>
      <c r="C62" s="550" t="s">
        <v>366</v>
      </c>
      <c r="D62" s="550"/>
      <c r="N62" s="668"/>
    </row>
    <row r="63" spans="1:14" s="55" customFormat="1" hidden="1" x14ac:dyDescent="0.2">
      <c r="B63" s="549" t="s">
        <v>17</v>
      </c>
      <c r="C63" s="550" t="s">
        <v>367</v>
      </c>
      <c r="D63" s="506"/>
      <c r="N63" s="668"/>
    </row>
    <row r="64" spans="1:14" s="55" customFormat="1" hidden="1" x14ac:dyDescent="0.2">
      <c r="B64" s="549" t="s">
        <v>18</v>
      </c>
      <c r="C64" s="550" t="s">
        <v>368</v>
      </c>
      <c r="D64" s="506"/>
      <c r="N64" s="668"/>
    </row>
    <row r="65" spans="1:14" s="55" customFormat="1" hidden="1" x14ac:dyDescent="0.2">
      <c r="B65" s="506"/>
      <c r="C65" s="506"/>
      <c r="D65" s="506"/>
      <c r="N65" s="668"/>
    </row>
    <row r="66" spans="1:14" s="55" customFormat="1" hidden="1" x14ac:dyDescent="0.2">
      <c r="B66" s="549" t="s">
        <v>16</v>
      </c>
      <c r="C66" s="550" t="s">
        <v>369</v>
      </c>
      <c r="D66" s="550" t="s">
        <v>367</v>
      </c>
      <c r="N66" s="668"/>
    </row>
    <row r="67" spans="1:14" s="55" customFormat="1" hidden="1" x14ac:dyDescent="0.2">
      <c r="B67" s="549" t="s">
        <v>17</v>
      </c>
      <c r="C67" s="550" t="s">
        <v>366</v>
      </c>
      <c r="D67" s="550" t="s">
        <v>370</v>
      </c>
      <c r="N67" s="668"/>
    </row>
    <row r="68" spans="1:14" s="55" customFormat="1" hidden="1" x14ac:dyDescent="0.2">
      <c r="B68" s="549" t="s">
        <v>18</v>
      </c>
      <c r="C68" s="550" t="s">
        <v>368</v>
      </c>
      <c r="D68" s="550" t="s">
        <v>371</v>
      </c>
      <c r="N68" s="668"/>
    </row>
    <row r="69" spans="1:14" s="55" customFormat="1" x14ac:dyDescent="0.2">
      <c r="B69" s="551"/>
      <c r="C69" s="527"/>
      <c r="D69" s="527"/>
      <c r="N69" s="668"/>
    </row>
    <row r="70" spans="1:14" s="55" customFormat="1" x14ac:dyDescent="0.2">
      <c r="B70" s="549" t="s">
        <v>16</v>
      </c>
      <c r="C70" s="550" t="s">
        <v>372</v>
      </c>
      <c r="D70" s="550" t="s">
        <v>370</v>
      </c>
      <c r="N70" s="668"/>
    </row>
    <row r="71" spans="1:14" s="55" customFormat="1" x14ac:dyDescent="0.2">
      <c r="B71" s="549" t="s">
        <v>17</v>
      </c>
      <c r="C71" s="550" t="s">
        <v>366</v>
      </c>
      <c r="D71" s="550" t="s">
        <v>373</v>
      </c>
      <c r="N71" s="668"/>
    </row>
    <row r="72" spans="1:14" s="55" customFormat="1" x14ac:dyDescent="0.2">
      <c r="B72" s="549" t="s">
        <v>18</v>
      </c>
      <c r="C72" s="550" t="s">
        <v>374</v>
      </c>
      <c r="D72" s="550" t="s">
        <v>371</v>
      </c>
      <c r="N72" s="668"/>
    </row>
    <row r="73" spans="1:14" s="55" customFormat="1" x14ac:dyDescent="0.2">
      <c r="B73" s="549" t="s">
        <v>19</v>
      </c>
      <c r="C73" s="550" t="s">
        <v>375</v>
      </c>
      <c r="D73" s="550" t="s">
        <v>376</v>
      </c>
      <c r="N73" s="668"/>
    </row>
    <row r="74" spans="1:14" s="55" customFormat="1" x14ac:dyDescent="0.2">
      <c r="B74" s="549" t="s">
        <v>20</v>
      </c>
      <c r="C74" s="550" t="s">
        <v>367</v>
      </c>
      <c r="D74" s="550" t="s">
        <v>369</v>
      </c>
      <c r="N74" s="668"/>
    </row>
    <row r="75" spans="1:14" s="55" customFormat="1" hidden="1" x14ac:dyDescent="0.2">
      <c r="A75" s="668"/>
      <c r="B75" s="668"/>
      <c r="C75" s="668"/>
      <c r="D75" s="668"/>
      <c r="E75" s="668"/>
      <c r="F75" s="668"/>
      <c r="G75" s="668"/>
      <c r="H75" s="668"/>
      <c r="I75" s="35"/>
      <c r="J75" s="668"/>
      <c r="K75" s="668"/>
      <c r="L75" s="668"/>
      <c r="M75" s="668"/>
      <c r="N75" s="668"/>
    </row>
    <row r="76" spans="1:14" s="55" customFormat="1" hidden="1" x14ac:dyDescent="0.2">
      <c r="A76" s="668"/>
      <c r="B76" s="668"/>
      <c r="C76" s="668"/>
      <c r="D76" s="668"/>
      <c r="E76" s="668"/>
      <c r="F76" s="668"/>
      <c r="G76" s="668"/>
      <c r="H76" s="668"/>
      <c r="I76" s="35"/>
      <c r="J76" s="668"/>
      <c r="K76" s="668"/>
      <c r="L76" s="668"/>
      <c r="M76" s="668"/>
      <c r="N76" s="668"/>
    </row>
    <row r="77" spans="1:14" s="55" customFormat="1" hidden="1" x14ac:dyDescent="0.2">
      <c r="A77" s="668"/>
      <c r="B77" s="668"/>
      <c r="C77" s="668"/>
      <c r="D77" s="668"/>
      <c r="E77" s="668"/>
      <c r="F77" s="668"/>
      <c r="G77" s="668"/>
      <c r="H77" s="668"/>
      <c r="I77" s="35"/>
      <c r="J77" s="668"/>
      <c r="K77" s="668"/>
      <c r="L77" s="668"/>
      <c r="M77" s="668"/>
      <c r="N77" s="668"/>
    </row>
    <row r="78" spans="1:14" s="55" customFormat="1" hidden="1" x14ac:dyDescent="0.2">
      <c r="A78" s="668"/>
      <c r="B78" s="668"/>
      <c r="C78" s="668"/>
      <c r="D78" s="668"/>
      <c r="E78" s="668"/>
      <c r="F78" s="668"/>
      <c r="G78" s="668"/>
      <c r="H78" s="668"/>
      <c r="I78" s="35"/>
      <c r="J78" s="668"/>
      <c r="K78" s="668"/>
      <c r="L78" s="668"/>
      <c r="M78" s="668"/>
      <c r="N78" s="668"/>
    </row>
    <row r="79" spans="1:14" s="55" customFormat="1" hidden="1" x14ac:dyDescent="0.2">
      <c r="A79" s="668"/>
      <c r="B79" s="668"/>
      <c r="C79" s="668"/>
      <c r="D79" s="668"/>
      <c r="E79" s="668"/>
      <c r="F79" s="668"/>
      <c r="G79" s="668"/>
      <c r="H79" s="668"/>
      <c r="I79" s="35"/>
      <c r="J79" s="668"/>
      <c r="K79" s="668"/>
      <c r="L79" s="668"/>
      <c r="M79" s="668"/>
      <c r="N79" s="668"/>
    </row>
    <row r="80" spans="1:14" s="55" customFormat="1" hidden="1" x14ac:dyDescent="0.2">
      <c r="A80" s="668"/>
      <c r="B80" s="668"/>
      <c r="C80" s="668"/>
      <c r="D80" s="668"/>
      <c r="E80" s="668"/>
      <c r="F80" s="668"/>
      <c r="G80" s="668"/>
      <c r="H80" s="668"/>
      <c r="I80" s="35"/>
      <c r="J80" s="668"/>
      <c r="K80" s="668"/>
      <c r="L80" s="668"/>
      <c r="M80" s="668"/>
      <c r="N80" s="668"/>
    </row>
    <row r="81" spans="1:14" s="55" customFormat="1" hidden="1" x14ac:dyDescent="0.2">
      <c r="A81" s="668"/>
      <c r="B81" s="668"/>
      <c r="C81" s="668"/>
      <c r="D81" s="668"/>
      <c r="E81" s="668"/>
      <c r="F81" s="668"/>
      <c r="G81" s="668"/>
      <c r="H81" s="668"/>
      <c r="I81" s="35"/>
      <c r="J81" s="668"/>
      <c r="K81" s="668"/>
      <c r="L81" s="668"/>
      <c r="M81" s="668"/>
      <c r="N81" s="668"/>
    </row>
    <row r="82" spans="1:14" s="55" customFormat="1" hidden="1" x14ac:dyDescent="0.2">
      <c r="A82" s="668"/>
      <c r="B82" s="668"/>
      <c r="C82" s="668"/>
      <c r="D82" s="668"/>
      <c r="E82" s="668"/>
      <c r="F82" s="668"/>
      <c r="G82" s="668"/>
      <c r="H82" s="668"/>
      <c r="I82" s="35"/>
      <c r="J82" s="668"/>
      <c r="K82" s="668"/>
      <c r="L82" s="668"/>
      <c r="M82" s="668"/>
      <c r="N82" s="668"/>
    </row>
    <row r="83" spans="1:14" s="55" customFormat="1" hidden="1" x14ac:dyDescent="0.2">
      <c r="A83" s="668"/>
      <c r="B83" s="668"/>
      <c r="C83" s="668"/>
      <c r="D83" s="668"/>
      <c r="E83" s="668"/>
      <c r="F83" s="668"/>
      <c r="G83" s="668"/>
      <c r="H83" s="668"/>
      <c r="I83" s="35"/>
      <c r="J83" s="668"/>
      <c r="K83" s="668"/>
      <c r="L83" s="668"/>
      <c r="M83" s="668"/>
      <c r="N83" s="668"/>
    </row>
    <row r="84" spans="1:14" s="55" customFormat="1" hidden="1" x14ac:dyDescent="0.2">
      <c r="A84" s="668"/>
      <c r="B84" s="668"/>
      <c r="C84" s="668"/>
      <c r="D84" s="668"/>
      <c r="E84" s="668"/>
      <c r="F84" s="668"/>
      <c r="G84" s="668"/>
      <c r="H84" s="668"/>
      <c r="I84" s="35"/>
      <c r="J84" s="668"/>
      <c r="K84" s="668"/>
      <c r="L84" s="668"/>
      <c r="M84" s="668"/>
      <c r="N84" s="668"/>
    </row>
    <row r="85" spans="1:14" s="55" customFormat="1" hidden="1" x14ac:dyDescent="0.2">
      <c r="A85" s="668"/>
      <c r="B85" s="668"/>
      <c r="C85" s="668"/>
      <c r="D85" s="668"/>
      <c r="E85" s="668"/>
      <c r="F85" s="668"/>
      <c r="G85" s="668"/>
      <c r="H85" s="668"/>
      <c r="I85" s="35"/>
      <c r="J85" s="668"/>
      <c r="K85" s="668"/>
      <c r="L85" s="668"/>
      <c r="M85" s="668"/>
      <c r="N85" s="668"/>
    </row>
    <row r="86" spans="1:14" s="55" customFormat="1" hidden="1" x14ac:dyDescent="0.2">
      <c r="A86" s="668"/>
      <c r="B86" s="668"/>
      <c r="C86" s="668"/>
      <c r="D86" s="668"/>
      <c r="E86" s="668"/>
      <c r="F86" s="668"/>
      <c r="G86" s="668"/>
      <c r="H86" s="668"/>
      <c r="I86" s="35"/>
      <c r="J86" s="668"/>
      <c r="K86" s="668"/>
      <c r="L86" s="668"/>
      <c r="M86" s="668"/>
      <c r="N86" s="668"/>
    </row>
    <row r="87" spans="1:14" s="55" customFormat="1" hidden="1" x14ac:dyDescent="0.2">
      <c r="A87" s="668"/>
      <c r="B87" s="668"/>
      <c r="C87" s="668"/>
      <c r="D87" s="668"/>
      <c r="E87" s="668"/>
      <c r="F87" s="668"/>
      <c r="G87" s="668"/>
      <c r="H87" s="668"/>
      <c r="I87" s="35"/>
      <c r="J87" s="668"/>
      <c r="K87" s="668"/>
      <c r="L87" s="668"/>
      <c r="M87" s="668"/>
      <c r="N87" s="668"/>
    </row>
    <row r="88" spans="1:14" s="55" customFormat="1" hidden="1" x14ac:dyDescent="0.2">
      <c r="A88" s="668"/>
      <c r="B88" s="668"/>
      <c r="C88" s="668"/>
      <c r="D88" s="668"/>
      <c r="E88" s="668"/>
      <c r="F88" s="668"/>
      <c r="G88" s="668"/>
      <c r="H88" s="668"/>
      <c r="I88" s="35"/>
      <c r="J88" s="668"/>
      <c r="K88" s="668"/>
      <c r="L88" s="668"/>
      <c r="M88" s="668"/>
      <c r="N88" s="668"/>
    </row>
    <row r="89" spans="1:14" s="55" customFormat="1" hidden="1" x14ac:dyDescent="0.2">
      <c r="A89" s="668"/>
      <c r="B89" s="668"/>
      <c r="C89" s="668"/>
      <c r="D89" s="668"/>
      <c r="E89" s="668"/>
      <c r="F89" s="668"/>
      <c r="G89" s="668"/>
      <c r="H89" s="668"/>
      <c r="I89" s="35"/>
      <c r="J89" s="668"/>
      <c r="K89" s="668"/>
      <c r="L89" s="668"/>
      <c r="M89" s="668"/>
      <c r="N89" s="668"/>
    </row>
    <row r="90" spans="1:14" s="55" customFormat="1" hidden="1" x14ac:dyDescent="0.2">
      <c r="A90" s="668"/>
      <c r="B90" s="668"/>
      <c r="C90" s="668"/>
      <c r="D90" s="668"/>
      <c r="E90" s="668"/>
      <c r="F90" s="668"/>
      <c r="G90" s="668"/>
      <c r="H90" s="668"/>
      <c r="I90" s="35"/>
      <c r="J90" s="668"/>
      <c r="K90" s="668"/>
      <c r="L90" s="668"/>
      <c r="M90" s="668"/>
      <c r="N90" s="668"/>
    </row>
    <row r="91" spans="1:14" s="55" customFormat="1" hidden="1" x14ac:dyDescent="0.2">
      <c r="A91" s="668"/>
      <c r="B91" s="668"/>
      <c r="C91" s="668"/>
      <c r="D91" s="668"/>
      <c r="E91" s="668"/>
      <c r="F91" s="668"/>
      <c r="G91" s="668"/>
      <c r="H91" s="668"/>
      <c r="I91" s="35"/>
      <c r="J91" s="668"/>
      <c r="K91" s="668"/>
      <c r="L91" s="668"/>
      <c r="M91" s="668"/>
      <c r="N91" s="668"/>
    </row>
    <row r="92" spans="1:14" s="55" customFormat="1" hidden="1" x14ac:dyDescent="0.2">
      <c r="A92" s="668"/>
      <c r="B92" s="668"/>
      <c r="C92" s="668"/>
      <c r="D92" s="668"/>
      <c r="E92" s="668"/>
      <c r="F92" s="668"/>
      <c r="G92" s="668"/>
      <c r="H92" s="668"/>
      <c r="I92" s="35"/>
      <c r="J92" s="668"/>
      <c r="K92" s="668"/>
      <c r="L92" s="668"/>
      <c r="M92" s="668"/>
      <c r="N92" s="668"/>
    </row>
    <row r="93" spans="1:14" s="55" customFormat="1" hidden="1" x14ac:dyDescent="0.2">
      <c r="A93" s="668"/>
      <c r="B93" s="668"/>
      <c r="C93" s="668"/>
      <c r="D93" s="668"/>
      <c r="E93" s="668"/>
      <c r="F93" s="668"/>
      <c r="G93" s="668"/>
      <c r="H93" s="668"/>
      <c r="I93" s="35"/>
      <c r="J93" s="668"/>
      <c r="K93" s="668"/>
      <c r="L93" s="668"/>
      <c r="M93" s="668"/>
      <c r="N93" s="668"/>
    </row>
    <row r="94" spans="1:14" s="55" customFormat="1" hidden="1" x14ac:dyDescent="0.2">
      <c r="A94" s="668"/>
      <c r="B94" s="668"/>
      <c r="C94" s="668"/>
      <c r="D94" s="668"/>
      <c r="E94" s="668"/>
      <c r="F94" s="668"/>
      <c r="G94" s="668"/>
      <c r="H94" s="668"/>
      <c r="I94" s="35"/>
      <c r="J94" s="668"/>
      <c r="K94" s="668"/>
      <c r="L94" s="668"/>
      <c r="M94" s="668"/>
      <c r="N94" s="668"/>
    </row>
    <row r="95" spans="1:14" s="552" customFormat="1" hidden="1" x14ac:dyDescent="0.2">
      <c r="A95" s="668"/>
      <c r="B95" s="668"/>
      <c r="C95" s="668"/>
      <c r="D95" s="668"/>
      <c r="E95" s="668"/>
      <c r="F95" s="668"/>
      <c r="G95" s="668"/>
      <c r="H95" s="668"/>
      <c r="I95" s="35"/>
      <c r="J95" s="668"/>
      <c r="K95" s="668"/>
      <c r="L95" s="668"/>
      <c r="M95" s="668"/>
      <c r="N95" s="668"/>
    </row>
    <row r="96" spans="1:14" hidden="1" x14ac:dyDescent="0.2">
      <c r="A96" s="668"/>
      <c r="B96" s="668"/>
      <c r="C96" s="668"/>
      <c r="D96" s="668"/>
      <c r="E96" s="668"/>
      <c r="F96" s="668"/>
      <c r="G96" s="668"/>
      <c r="H96" s="668"/>
      <c r="I96" s="35"/>
      <c r="J96" s="668"/>
      <c r="K96" s="668"/>
      <c r="L96" s="668"/>
      <c r="M96" s="668"/>
      <c r="N96" s="668"/>
    </row>
    <row r="97" spans="1:14" hidden="1" x14ac:dyDescent="0.2">
      <c r="A97" s="668"/>
      <c r="B97" s="668"/>
      <c r="C97" s="668"/>
      <c r="D97" s="668"/>
      <c r="E97" s="668"/>
      <c r="F97" s="668"/>
      <c r="G97" s="668"/>
      <c r="H97" s="668"/>
      <c r="I97" s="35"/>
      <c r="J97" s="668"/>
      <c r="K97" s="668"/>
      <c r="L97" s="668"/>
      <c r="M97" s="668"/>
      <c r="N97" s="668"/>
    </row>
    <row r="98" spans="1:14" x14ac:dyDescent="0.2">
      <c r="A98" s="668"/>
      <c r="B98" s="668"/>
      <c r="C98" s="668"/>
      <c r="D98" s="668"/>
      <c r="E98" s="668"/>
      <c r="F98" s="668"/>
      <c r="G98" s="668"/>
      <c r="H98" s="668"/>
      <c r="I98" s="35"/>
      <c r="J98" s="668"/>
      <c r="K98" s="668"/>
      <c r="L98" s="668"/>
      <c r="M98" s="668"/>
      <c r="N98" s="668"/>
    </row>
    <row r="99" spans="1:14" x14ac:dyDescent="0.2">
      <c r="A99" s="553" t="s">
        <v>498</v>
      </c>
      <c r="B99" s="554"/>
      <c r="C99" s="525"/>
      <c r="D99" s="525"/>
      <c r="E99" s="525"/>
      <c r="F99" s="527"/>
      <c r="G99" s="550"/>
      <c r="H99" s="55"/>
      <c r="I99" s="35"/>
      <c r="J99" s="668"/>
      <c r="K99" s="668"/>
      <c r="L99" s="32"/>
      <c r="M99" s="668"/>
      <c r="N99" s="668"/>
    </row>
    <row r="100" spans="1:14" x14ac:dyDescent="0.2">
      <c r="A100" s="55"/>
      <c r="B100" s="55"/>
      <c r="C100" s="55"/>
      <c r="D100" s="55"/>
      <c r="E100" s="55"/>
      <c r="F100" s="55"/>
      <c r="G100" s="55"/>
      <c r="H100" s="55"/>
      <c r="I100" s="35"/>
      <c r="J100" s="668"/>
      <c r="K100" s="668"/>
      <c r="M100" s="668"/>
      <c r="N100" s="668"/>
    </row>
    <row r="101" spans="1:14" x14ac:dyDescent="0.2">
      <c r="A101" s="555" t="s">
        <v>378</v>
      </c>
      <c r="B101" s="556" t="str">
        <f>IFERROR(INDEX(B$1:B$100,MATCH(A101,I$1:I$100,0)),"")</f>
        <v>Ivar Viljaste</v>
      </c>
      <c r="C101" s="557">
        <v>13</v>
      </c>
      <c r="D101" s="55"/>
      <c r="E101" s="55"/>
      <c r="F101" s="55"/>
      <c r="G101" s="55"/>
      <c r="H101" s="55"/>
      <c r="I101" s="35"/>
      <c r="J101" s="668"/>
      <c r="K101" s="668"/>
      <c r="M101" s="668"/>
      <c r="N101" s="668"/>
    </row>
    <row r="102" spans="1:14" x14ac:dyDescent="0.2">
      <c r="A102" s="558"/>
      <c r="B102" s="644"/>
      <c r="C102" s="560" t="str">
        <f>IF(COUNT(C101,C103)=2,IF(C101&gt;C103,B101,B103),"")</f>
        <v>Ivar Viljaste</v>
      </c>
      <c r="D102" s="55"/>
      <c r="E102" s="915">
        <v>7</v>
      </c>
      <c r="F102" s="55"/>
      <c r="G102" s="55"/>
      <c r="H102" s="55"/>
      <c r="I102" s="55"/>
      <c r="J102" s="668"/>
      <c r="K102" s="668"/>
      <c r="L102" s="32"/>
      <c r="M102" s="668"/>
      <c r="N102" s="668"/>
    </row>
    <row r="103" spans="1:14" x14ac:dyDescent="0.2">
      <c r="A103" s="558" t="s">
        <v>379</v>
      </c>
      <c r="B103" s="561" t="str">
        <f>IFERROR(INDEX(B$1:B$100,MATCH(A103,I$1:I$100,0)),"")</f>
        <v>Jaan Sepp</v>
      </c>
      <c r="C103" s="562">
        <v>9</v>
      </c>
      <c r="D103" s="645"/>
      <c r="E103" s="55"/>
      <c r="F103" s="55"/>
      <c r="G103" s="55"/>
      <c r="H103" s="55"/>
      <c r="I103" s="55"/>
      <c r="J103" s="668"/>
      <c r="K103" s="668"/>
      <c r="M103" s="668"/>
      <c r="N103" s="668"/>
    </row>
    <row r="104" spans="1:14" x14ac:dyDescent="0.2">
      <c r="A104" s="558"/>
      <c r="B104" s="539"/>
      <c r="C104" s="55"/>
      <c r="D104" s="564"/>
      <c r="E104" s="560" t="str">
        <f>IF(COUNT(E102,E106)=2,IF(E102&gt;E106,C102,C106),"")</f>
        <v>Oleg Rõndenkov</v>
      </c>
      <c r="F104" s="55"/>
      <c r="G104" s="557">
        <v>12</v>
      </c>
      <c r="H104" s="55"/>
      <c r="I104" s="55"/>
      <c r="J104" s="668"/>
      <c r="K104" s="668"/>
      <c r="M104" s="668"/>
      <c r="N104" s="668"/>
    </row>
    <row r="105" spans="1:14" x14ac:dyDescent="0.2">
      <c r="A105" s="558" t="s">
        <v>382</v>
      </c>
      <c r="B105" s="556" t="str">
        <f>IFERROR(INDEX(B$1:B$100,MATCH(A105,I$1:I$100,0)),"")</f>
        <v>Elmo Lageda</v>
      </c>
      <c r="C105" s="557">
        <v>10</v>
      </c>
      <c r="D105" s="564"/>
      <c r="E105" s="565"/>
      <c r="F105" s="645"/>
      <c r="G105" s="55"/>
      <c r="H105" s="55"/>
      <c r="I105" s="55"/>
      <c r="J105" s="668"/>
      <c r="K105" s="668"/>
      <c r="M105" s="668"/>
      <c r="N105" s="668"/>
    </row>
    <row r="106" spans="1:14" x14ac:dyDescent="0.2">
      <c r="A106" s="558"/>
      <c r="B106" s="644"/>
      <c r="C106" s="560" t="str">
        <f>IF(COUNT(C105,C107)=2,IF(C105&gt;C107,B105,B107),"")</f>
        <v>Oleg Rõndenkov</v>
      </c>
      <c r="D106" s="566"/>
      <c r="E106" s="562">
        <v>13</v>
      </c>
      <c r="F106" s="564"/>
      <c r="G106" s="55"/>
      <c r="H106" s="55"/>
      <c r="I106" s="55"/>
      <c r="J106" s="668"/>
      <c r="K106" s="668"/>
      <c r="L106" s="32"/>
      <c r="M106" s="668"/>
      <c r="N106" s="668"/>
    </row>
    <row r="107" spans="1:14" x14ac:dyDescent="0.2">
      <c r="A107" s="558" t="s">
        <v>384</v>
      </c>
      <c r="B107" s="561" t="str">
        <f>IFERROR(INDEX(B$1:B$100,MATCH(A107,I$1:I$100,0)),"")</f>
        <v>Oleg Rõndenkov</v>
      </c>
      <c r="C107" s="562">
        <v>13</v>
      </c>
      <c r="D107" s="55"/>
      <c r="E107" s="554"/>
      <c r="F107" s="564"/>
      <c r="G107" s="55"/>
      <c r="H107" s="55"/>
      <c r="I107" s="55"/>
      <c r="J107" s="668"/>
      <c r="K107" s="668"/>
      <c r="M107" s="668"/>
      <c r="N107" s="668"/>
    </row>
    <row r="108" spans="1:14" ht="13.5" thickBot="1" x14ac:dyDescent="0.25">
      <c r="A108" s="538"/>
      <c r="B108" s="539"/>
      <c r="C108" s="55"/>
      <c r="D108" s="55"/>
      <c r="E108" s="554"/>
      <c r="F108" s="564"/>
      <c r="G108" s="55"/>
      <c r="H108" s="567" t="str">
        <f>IF(COUNT(G104,G112)=2,IF(G104&gt;G112,E104,E112),"")</f>
        <v>Oskar Sepp</v>
      </c>
      <c r="I108" s="55"/>
      <c r="J108" s="668"/>
      <c r="K108" s="668"/>
      <c r="L108" s="32"/>
      <c r="M108" s="668"/>
      <c r="N108" s="668"/>
    </row>
    <row r="109" spans="1:14" x14ac:dyDescent="0.2">
      <c r="A109" s="555" t="s">
        <v>380</v>
      </c>
      <c r="B109" s="556" t="str">
        <f>IFERROR(INDEX(B$1:B$100,MATCH(A109,I$1:I$100,0)),"")</f>
        <v>Aarne Välja</v>
      </c>
      <c r="C109" s="557">
        <v>4</v>
      </c>
      <c r="D109" s="55"/>
      <c r="E109" s="55"/>
      <c r="F109" s="564"/>
      <c r="G109" s="568"/>
      <c r="H109" s="569" t="s">
        <v>383</v>
      </c>
      <c r="I109" s="570"/>
      <c r="J109" s="668"/>
      <c r="K109" s="668"/>
      <c r="L109" s="32"/>
      <c r="M109" s="668"/>
      <c r="N109" s="668"/>
    </row>
    <row r="110" spans="1:14" x14ac:dyDescent="0.2">
      <c r="A110" s="558"/>
      <c r="B110" s="644"/>
      <c r="C110" s="560" t="str">
        <f>IF(COUNT(C109,C111)=2,IF(C109&gt;C111,B109,B111),"")</f>
        <v>Oskar Sepp</v>
      </c>
      <c r="D110" s="55"/>
      <c r="E110" s="557">
        <v>13</v>
      </c>
      <c r="F110" s="564"/>
      <c r="G110" s="554"/>
      <c r="H110" s="55"/>
      <c r="I110" s="55"/>
      <c r="J110" s="668"/>
      <c r="K110" s="668"/>
      <c r="L110" s="32"/>
      <c r="M110" s="668"/>
      <c r="N110" s="668"/>
    </row>
    <row r="111" spans="1:14" x14ac:dyDescent="0.2">
      <c r="A111" s="558" t="s">
        <v>381</v>
      </c>
      <c r="B111" s="561" t="str">
        <f>IFERROR(INDEX(B$1:B$100,MATCH(A111,I$1:I$100,0)),"")</f>
        <v>Oskar Sepp</v>
      </c>
      <c r="C111" s="562">
        <v>13</v>
      </c>
      <c r="D111" s="645"/>
      <c r="E111" s="55"/>
      <c r="F111" s="564"/>
      <c r="G111" s="554"/>
      <c r="H111" s="55"/>
      <c r="I111" s="55"/>
      <c r="J111" s="668"/>
      <c r="K111" s="668"/>
      <c r="L111" s="32"/>
      <c r="M111" s="668"/>
      <c r="N111" s="668"/>
    </row>
    <row r="112" spans="1:14" x14ac:dyDescent="0.2">
      <c r="A112" s="558"/>
      <c r="B112" s="539"/>
      <c r="C112" s="55"/>
      <c r="D112" s="564"/>
      <c r="E112" s="560" t="str">
        <f>IF(COUNT(E110,E114)=2,IF(E110&gt;E114,C110,C114),"")</f>
        <v>Oskar Sepp</v>
      </c>
      <c r="F112" s="566"/>
      <c r="G112" s="562">
        <v>13</v>
      </c>
      <c r="H112" s="55"/>
      <c r="I112" s="55"/>
      <c r="J112" s="668"/>
      <c r="K112" s="668"/>
      <c r="L112" s="32"/>
      <c r="M112" s="668"/>
      <c r="N112" s="668"/>
    </row>
    <row r="113" spans="1:14" ht="13.5" thickBot="1" x14ac:dyDescent="0.25">
      <c r="A113" s="558" t="s">
        <v>385</v>
      </c>
      <c r="B113" s="556" t="str">
        <f>IFERROR(INDEX(B$1:B$100,MATCH(A113,I$1:I$100,0)),"")</f>
        <v>Karla Purgats</v>
      </c>
      <c r="C113" s="557">
        <v>13</v>
      </c>
      <c r="D113" s="564"/>
      <c r="E113" s="565"/>
      <c r="F113" s="554"/>
      <c r="G113" s="554"/>
      <c r="H113" s="567" t="str">
        <f>IF(COUNT(G104,G112)=2,IF(G104&lt;G112,E104,E112),"")</f>
        <v>Oleg Rõndenkov</v>
      </c>
      <c r="I113" s="571"/>
      <c r="J113" s="668"/>
      <c r="K113" s="668"/>
      <c r="L113" s="32"/>
      <c r="M113" s="668"/>
      <c r="N113" s="668"/>
    </row>
    <row r="114" spans="1:14" x14ac:dyDescent="0.2">
      <c r="A114" s="558"/>
      <c r="B114" s="644"/>
      <c r="C114" s="560" t="str">
        <f>IF(COUNT(C113,C115)=2,IF(C113&gt;C115,B113,B115),"")</f>
        <v>Karla Purgats</v>
      </c>
      <c r="D114" s="566"/>
      <c r="E114" s="562">
        <v>8</v>
      </c>
      <c r="F114" s="55"/>
      <c r="G114" s="554"/>
      <c r="H114" s="569" t="s">
        <v>386</v>
      </c>
      <c r="I114" s="554"/>
      <c r="J114" s="668"/>
      <c r="K114" s="668"/>
      <c r="M114" s="668"/>
      <c r="N114" s="668"/>
    </row>
    <row r="115" spans="1:14" x14ac:dyDescent="0.2">
      <c r="A115" s="558" t="s">
        <v>387</v>
      </c>
      <c r="B115" s="561" t="str">
        <f>IFERROR(INDEX(B$1:B$100,MATCH(A115,I$1:I$100,0)),"")</f>
        <v>Janek Tarto</v>
      </c>
      <c r="C115" s="562">
        <v>11</v>
      </c>
      <c r="D115" s="55"/>
      <c r="E115" s="554"/>
      <c r="F115" s="554"/>
      <c r="G115" s="554"/>
      <c r="H115" s="55"/>
      <c r="I115" s="55"/>
      <c r="J115" s="668"/>
      <c r="K115" s="668"/>
      <c r="M115" s="668"/>
      <c r="N115" s="668"/>
    </row>
    <row r="116" spans="1:14" x14ac:dyDescent="0.2">
      <c r="A116" s="538"/>
      <c r="B116" s="539"/>
      <c r="C116" s="55"/>
      <c r="D116" s="55"/>
      <c r="E116" s="551" t="str">
        <f>IF(COUNT(E102,E106)=2,IF(E102&lt;E106,C102,C106),"")</f>
        <v>Ivar Viljaste</v>
      </c>
      <c r="F116" s="55"/>
      <c r="G116" s="557">
        <v>13</v>
      </c>
      <c r="H116" s="55"/>
      <c r="I116" s="55"/>
      <c r="J116" s="668"/>
      <c r="K116" s="668"/>
      <c r="L116" s="668"/>
      <c r="M116" s="668"/>
      <c r="N116" s="668"/>
    </row>
    <row r="117" spans="1:14" ht="13.5" thickBot="1" x14ac:dyDescent="0.25">
      <c r="A117" s="55"/>
      <c r="B117" s="55"/>
      <c r="C117" s="55"/>
      <c r="D117" s="55"/>
      <c r="E117" s="646"/>
      <c r="F117" s="645"/>
      <c r="G117" s="571"/>
      <c r="H117" s="567" t="str">
        <f>IF(COUNT(G116,G118)=2,IF(G116&gt;G118,E116,E118),"")</f>
        <v>Ivar Viljaste</v>
      </c>
      <c r="I117" s="571"/>
      <c r="J117" s="668"/>
      <c r="K117" s="668"/>
      <c r="L117" s="668"/>
      <c r="M117" s="668"/>
      <c r="N117" s="668"/>
    </row>
    <row r="118" spans="1:14" x14ac:dyDescent="0.2">
      <c r="A118" s="55"/>
      <c r="B118" s="55"/>
      <c r="C118" s="55"/>
      <c r="D118" s="55"/>
      <c r="E118" s="572" t="str">
        <f>IF(COUNT(E110,E114)=2,IF(E110&lt;E114,C110,C114),"")</f>
        <v>Karla Purgats</v>
      </c>
      <c r="F118" s="566"/>
      <c r="G118" s="562">
        <v>6</v>
      </c>
      <c r="H118" s="523" t="s">
        <v>388</v>
      </c>
      <c r="I118" s="554"/>
      <c r="J118" s="668"/>
      <c r="K118" s="668"/>
      <c r="L118" s="668"/>
      <c r="M118" s="668"/>
      <c r="N118" s="668"/>
    </row>
    <row r="119" spans="1:14" x14ac:dyDescent="0.2">
      <c r="A119" s="55"/>
      <c r="B119" s="55"/>
      <c r="C119" s="55"/>
      <c r="D119" s="55"/>
      <c r="E119" s="55"/>
      <c r="F119" s="55"/>
      <c r="G119" s="55"/>
      <c r="H119" s="554"/>
      <c r="I119" s="554"/>
      <c r="J119" s="668"/>
      <c r="K119" s="668"/>
      <c r="L119" s="668"/>
      <c r="M119" s="668"/>
      <c r="N119" s="668"/>
    </row>
    <row r="120" spans="1:14" ht="13.5" thickBot="1" x14ac:dyDescent="0.25">
      <c r="A120" s="55"/>
      <c r="B120" s="55"/>
      <c r="C120" s="55"/>
      <c r="D120" s="55"/>
      <c r="E120" s="554"/>
      <c r="F120" s="554"/>
      <c r="G120" s="55"/>
      <c r="H120" s="567" t="str">
        <f>IF(COUNT(G116,G118)=2,IF(G116&lt;G118,E116,E118),"")</f>
        <v>Karla Purgats</v>
      </c>
      <c r="I120" s="571"/>
      <c r="J120" s="668"/>
      <c r="K120" s="668"/>
      <c r="L120" s="668"/>
      <c r="M120" s="668"/>
      <c r="N120" s="668"/>
    </row>
    <row r="121" spans="1:14" x14ac:dyDescent="0.2">
      <c r="A121" s="55"/>
      <c r="B121" s="55"/>
      <c r="C121" s="55"/>
      <c r="D121" s="55"/>
      <c r="E121" s="55"/>
      <c r="F121" s="55"/>
      <c r="G121" s="55"/>
      <c r="H121" s="538" t="s">
        <v>389</v>
      </c>
      <c r="I121" s="55"/>
      <c r="J121" s="668"/>
      <c r="K121" s="668"/>
      <c r="L121" s="668"/>
      <c r="M121" s="668"/>
      <c r="N121" s="668"/>
    </row>
    <row r="122" spans="1:14" x14ac:dyDescent="0.2">
      <c r="A122" s="55"/>
      <c r="B122" s="55"/>
      <c r="C122" s="572" t="str">
        <f>IF(COUNT(C101,C103)=2,IF(C101&lt;C103,B101,B103),"")</f>
        <v>Jaan Sepp</v>
      </c>
      <c r="D122" s="55"/>
      <c r="E122" s="557">
        <v>13</v>
      </c>
      <c r="F122" s="557"/>
      <c r="G122" s="557"/>
      <c r="H122" s="55"/>
      <c r="I122" s="55"/>
      <c r="J122" s="668"/>
      <c r="K122" s="668"/>
      <c r="L122" s="668"/>
      <c r="M122" s="668"/>
      <c r="N122" s="668"/>
    </row>
    <row r="123" spans="1:14" x14ac:dyDescent="0.2">
      <c r="A123" s="55"/>
      <c r="B123" s="55"/>
      <c r="C123" s="647"/>
      <c r="D123" s="648"/>
      <c r="E123" s="560" t="str">
        <f>IF(COUNT(E122,E124)=2,IF(E122&gt;E124,C122,C124),"")</f>
        <v>Jaan Sepp</v>
      </c>
      <c r="F123" s="55"/>
      <c r="G123" s="651">
        <v>11</v>
      </c>
      <c r="H123" s="55"/>
      <c r="I123" s="55"/>
      <c r="J123" s="668"/>
      <c r="K123" s="668"/>
      <c r="L123" s="668"/>
      <c r="M123" s="668"/>
      <c r="N123" s="668"/>
    </row>
    <row r="124" spans="1:14" x14ac:dyDescent="0.2">
      <c r="A124" s="55"/>
      <c r="B124" s="55"/>
      <c r="C124" s="572" t="str">
        <f>IF(COUNT(C105,C107)=2,IF(C105&lt;C107,B105,B107),"")</f>
        <v>Elmo Lageda</v>
      </c>
      <c r="D124" s="574"/>
      <c r="E124" s="562">
        <v>8</v>
      </c>
      <c r="F124" s="648"/>
      <c r="G124" s="557"/>
      <c r="H124" s="55"/>
      <c r="I124" s="55"/>
      <c r="J124" s="668"/>
      <c r="K124" s="668"/>
      <c r="L124" s="668"/>
      <c r="M124" s="668"/>
      <c r="N124" s="668"/>
    </row>
    <row r="125" spans="1:14" ht="13.5" thickBot="1" x14ac:dyDescent="0.25">
      <c r="A125" s="55"/>
      <c r="B125" s="55"/>
      <c r="C125" s="557"/>
      <c r="D125" s="557"/>
      <c r="E125" s="55"/>
      <c r="F125" s="576"/>
      <c r="G125" s="557"/>
      <c r="H125" s="567" t="str">
        <f>IF(COUNT(G123,G127)=2,IF(G123&gt;G127,E123,E127),"")</f>
        <v>Janek Tarto</v>
      </c>
      <c r="I125" s="55"/>
      <c r="J125" s="668"/>
      <c r="K125" s="668"/>
      <c r="L125" s="668"/>
      <c r="M125" s="668"/>
      <c r="N125" s="668"/>
    </row>
    <row r="126" spans="1:14" x14ac:dyDescent="0.2">
      <c r="A126" s="55"/>
      <c r="B126" s="55"/>
      <c r="C126" s="572" t="str">
        <f>IF(COUNT(C109,C111)=2,IF(C109&lt;C111,B109,B111),"")</f>
        <v>Aarne Välja</v>
      </c>
      <c r="D126" s="557"/>
      <c r="E126" s="557">
        <v>12</v>
      </c>
      <c r="F126" s="576"/>
      <c r="G126" s="577"/>
      <c r="H126" s="569" t="s">
        <v>390</v>
      </c>
      <c r="I126" s="570"/>
      <c r="J126" s="668"/>
      <c r="K126" s="668"/>
      <c r="L126" s="668"/>
      <c r="M126" s="668"/>
      <c r="N126" s="668"/>
    </row>
    <row r="127" spans="1:14" x14ac:dyDescent="0.2">
      <c r="A127" s="55"/>
      <c r="B127" s="55"/>
      <c r="C127" s="647"/>
      <c r="D127" s="648"/>
      <c r="E127" s="560" t="str">
        <f>IF(COUNT(E126,E128)=2,IF(E126&gt;E128,C126,C128),"")</f>
        <v>Janek Tarto</v>
      </c>
      <c r="F127" s="566"/>
      <c r="G127" s="562">
        <v>13</v>
      </c>
      <c r="H127" s="55"/>
      <c r="I127" s="55"/>
      <c r="J127" s="668"/>
      <c r="K127" s="668"/>
      <c r="L127" s="668"/>
      <c r="M127" s="668"/>
      <c r="N127" s="668"/>
    </row>
    <row r="128" spans="1:14" ht="13.5" thickBot="1" x14ac:dyDescent="0.25">
      <c r="A128" s="55"/>
      <c r="B128" s="55"/>
      <c r="C128" s="572" t="str">
        <f>IF(COUNT(C113,C115)=2,IF(C113&lt;C115,B113,B115),"")</f>
        <v>Janek Tarto</v>
      </c>
      <c r="D128" s="574"/>
      <c r="E128" s="562">
        <v>13</v>
      </c>
      <c r="F128" s="557"/>
      <c r="G128" s="575"/>
      <c r="H128" s="567" t="str">
        <f>IF(COUNT(G123,G127)=2,IF(G123&lt;G127,E123,E127),"")</f>
        <v>Jaan Sepp</v>
      </c>
      <c r="I128" s="571"/>
      <c r="J128" s="668"/>
      <c r="K128" s="668"/>
      <c r="L128" s="668"/>
      <c r="M128" s="668"/>
      <c r="N128" s="668"/>
    </row>
    <row r="129" spans="1:14" x14ac:dyDescent="0.2">
      <c r="A129" s="55"/>
      <c r="B129" s="55"/>
      <c r="C129" s="557"/>
      <c r="D129" s="557"/>
      <c r="E129" s="557"/>
      <c r="F129" s="557"/>
      <c r="G129" s="575"/>
      <c r="H129" s="569" t="s">
        <v>391</v>
      </c>
      <c r="I129" s="554"/>
      <c r="J129" s="668"/>
      <c r="K129" s="668"/>
      <c r="L129" s="668"/>
      <c r="M129" s="668"/>
      <c r="N129" s="668"/>
    </row>
    <row r="130" spans="1:14" x14ac:dyDescent="0.2">
      <c r="A130" s="55"/>
      <c r="B130" s="55"/>
      <c r="C130" s="557"/>
      <c r="D130" s="575"/>
      <c r="E130" s="551" t="str">
        <f>IF(COUNT(E122,E124)=2,IF(E122&lt;E124,C122,C124),"")</f>
        <v>Elmo Lageda</v>
      </c>
      <c r="F130" s="55"/>
      <c r="G130" s="557">
        <v>6</v>
      </c>
      <c r="H130" s="554"/>
      <c r="I130" s="554"/>
      <c r="J130" s="668"/>
      <c r="K130" s="668"/>
      <c r="L130" s="668"/>
      <c r="M130" s="668"/>
      <c r="N130" s="668"/>
    </row>
    <row r="131" spans="1:14" ht="13.5" thickBot="1" x14ac:dyDescent="0.25">
      <c r="A131" s="55"/>
      <c r="B131" s="55"/>
      <c r="C131" s="557"/>
      <c r="D131" s="575"/>
      <c r="E131" s="646"/>
      <c r="F131" s="645"/>
      <c r="G131" s="571"/>
      <c r="H131" s="567" t="str">
        <f>IF(COUNT(G130,G132)=2,IF(G130&gt;G132,E130,E132),"")</f>
        <v>Aarne Välja</v>
      </c>
      <c r="I131" s="571"/>
      <c r="J131" s="668"/>
      <c r="K131" s="668"/>
      <c r="L131" s="668"/>
      <c r="M131" s="668"/>
      <c r="N131" s="668"/>
    </row>
    <row r="132" spans="1:14" x14ac:dyDescent="0.2">
      <c r="A132" s="55"/>
      <c r="B132" s="55"/>
      <c r="C132" s="557"/>
      <c r="D132" s="575"/>
      <c r="E132" s="572" t="str">
        <f>IF(COUNT(E126,E128)=2,IF(E126&lt;E128,C126,C128),"")</f>
        <v>Aarne Välja</v>
      </c>
      <c r="F132" s="566"/>
      <c r="G132" s="562">
        <v>13</v>
      </c>
      <c r="H132" s="569" t="s">
        <v>392</v>
      </c>
      <c r="I132" s="554"/>
      <c r="J132" s="668"/>
      <c r="K132" s="668"/>
      <c r="L132" s="668"/>
      <c r="M132" s="668"/>
      <c r="N132" s="668"/>
    </row>
    <row r="133" spans="1:14" x14ac:dyDescent="0.2">
      <c r="A133" s="55"/>
      <c r="B133" s="55"/>
      <c r="C133" s="55"/>
      <c r="D133" s="554"/>
      <c r="E133" s="55"/>
      <c r="F133" s="55"/>
      <c r="G133" s="55"/>
      <c r="H133" s="554"/>
      <c r="I133" s="554"/>
      <c r="J133" s="668"/>
      <c r="K133" s="668"/>
      <c r="L133" s="668"/>
      <c r="M133" s="668"/>
      <c r="N133" s="668"/>
    </row>
    <row r="134" spans="1:14" ht="13.5" thickBot="1" x14ac:dyDescent="0.25">
      <c r="A134" s="55"/>
      <c r="B134" s="55"/>
      <c r="C134" s="55"/>
      <c r="D134" s="55"/>
      <c r="E134" s="554"/>
      <c r="F134" s="554"/>
      <c r="G134" s="55"/>
      <c r="H134" s="571" t="str">
        <f>IF(COUNT(G130,G132)=2,IF(G130&lt;G132,E130,E132),"")</f>
        <v>Elmo Lageda</v>
      </c>
      <c r="I134" s="571"/>
      <c r="J134" s="668"/>
      <c r="K134" s="668"/>
      <c r="L134" s="668"/>
      <c r="M134" s="668"/>
      <c r="N134" s="668"/>
    </row>
    <row r="135" spans="1:14" x14ac:dyDescent="0.2">
      <c r="A135" s="578"/>
      <c r="B135" s="579"/>
      <c r="C135" s="527"/>
      <c r="D135" s="527"/>
      <c r="E135" s="527"/>
      <c r="F135" s="527"/>
      <c r="G135" s="528"/>
      <c r="H135" s="569" t="s">
        <v>393</v>
      </c>
      <c r="I135" s="506"/>
      <c r="J135" s="668"/>
      <c r="K135" s="668"/>
      <c r="L135" s="668"/>
      <c r="M135" s="668"/>
      <c r="N135" s="668"/>
    </row>
    <row r="136" spans="1:14" x14ac:dyDescent="0.2">
      <c r="A136" s="668"/>
      <c r="B136" s="668"/>
      <c r="C136" s="668"/>
      <c r="D136" s="668"/>
      <c r="E136" s="668"/>
      <c r="F136" s="668"/>
      <c r="G136" s="668"/>
      <c r="H136" s="668"/>
      <c r="I136" s="668"/>
      <c r="J136" s="668"/>
      <c r="K136" s="668"/>
      <c r="L136" s="668"/>
      <c r="M136" s="668"/>
      <c r="N136" s="668"/>
    </row>
    <row r="137" spans="1:14" x14ac:dyDescent="0.2">
      <c r="A137" s="553" t="s">
        <v>601</v>
      </c>
      <c r="B137" s="554"/>
      <c r="C137" s="525"/>
      <c r="D137" s="525"/>
      <c r="E137" s="525"/>
      <c r="F137" s="527"/>
      <c r="G137" s="550"/>
      <c r="H137" s="55"/>
      <c r="I137" s="35"/>
      <c r="J137" s="668"/>
      <c r="K137" s="668"/>
      <c r="L137" s="668"/>
      <c r="M137" s="668"/>
      <c r="N137" s="668"/>
    </row>
    <row r="138" spans="1:14" x14ac:dyDescent="0.2">
      <c r="A138" s="55"/>
      <c r="B138" s="55"/>
      <c r="C138" s="55"/>
      <c r="D138" s="55"/>
      <c r="E138" s="55"/>
      <c r="F138" s="55"/>
      <c r="G138" s="55"/>
      <c r="H138" s="55"/>
      <c r="I138" s="35"/>
      <c r="J138" s="668"/>
      <c r="K138" s="668"/>
      <c r="L138" s="668"/>
      <c r="M138" s="668"/>
      <c r="N138" s="668"/>
    </row>
    <row r="139" spans="1:14" x14ac:dyDescent="0.2">
      <c r="A139" s="555" t="s">
        <v>394</v>
      </c>
      <c r="B139" s="556" t="str">
        <f>IFERROR(INDEX(B$1:B$100,MATCH(A139,I$1:I$100,0)),"")</f>
        <v>Tõnu Kapper</v>
      </c>
      <c r="C139" s="557">
        <v>10</v>
      </c>
      <c r="D139" s="55"/>
      <c r="E139" s="55"/>
      <c r="F139" s="55"/>
      <c r="G139" s="55"/>
      <c r="H139" s="55"/>
      <c r="I139" s="35"/>
      <c r="J139" s="668"/>
      <c r="K139" s="668"/>
      <c r="L139" s="668"/>
      <c r="M139" s="668"/>
      <c r="N139" s="668"/>
    </row>
    <row r="140" spans="1:14" x14ac:dyDescent="0.2">
      <c r="A140" s="592"/>
      <c r="B140" s="644"/>
      <c r="C140" s="560" t="str">
        <f>IF(COUNT(C139,C141)=2,IF(C139&gt;C141,B139,B141),"")</f>
        <v>Andrei Grintšak</v>
      </c>
      <c r="D140" s="55"/>
      <c r="E140" s="915">
        <v>3</v>
      </c>
      <c r="F140" s="55"/>
      <c r="G140" s="55"/>
      <c r="H140" s="55"/>
      <c r="I140" s="55"/>
      <c r="J140" s="668"/>
      <c r="K140" s="668"/>
      <c r="L140" s="668"/>
      <c r="M140" s="668"/>
      <c r="N140" s="668"/>
    </row>
    <row r="141" spans="1:14" x14ac:dyDescent="0.2">
      <c r="A141" s="592" t="s">
        <v>395</v>
      </c>
      <c r="B141" s="561" t="str">
        <f>IFERROR(INDEX(B$1:B$100,MATCH(A141,I$1:I$100,0)),"")</f>
        <v>Andrei Grintšak</v>
      </c>
      <c r="C141" s="562">
        <v>13</v>
      </c>
      <c r="D141" s="645"/>
      <c r="E141" s="55"/>
      <c r="F141" s="55"/>
      <c r="G141" s="55"/>
      <c r="H141" s="55"/>
      <c r="I141" s="55"/>
      <c r="J141" s="668"/>
      <c r="K141" s="668"/>
      <c r="L141" s="668"/>
      <c r="M141" s="668"/>
      <c r="N141" s="668"/>
    </row>
    <row r="142" spans="1:14" x14ac:dyDescent="0.2">
      <c r="A142" s="592"/>
      <c r="B142" s="539"/>
      <c r="C142" s="55"/>
      <c r="D142" s="564"/>
      <c r="E142" s="560" t="str">
        <f>IF(COUNT(E140,E144)=2,IF(E140&gt;E144,C140,C144),"")</f>
        <v>Oksana Sažina</v>
      </c>
      <c r="F142" s="55"/>
      <c r="G142" s="557">
        <v>3</v>
      </c>
      <c r="H142" s="55"/>
      <c r="I142" s="55"/>
      <c r="J142" s="668"/>
      <c r="K142" s="668"/>
      <c r="L142" s="668"/>
      <c r="M142" s="668"/>
      <c r="N142" s="668"/>
    </row>
    <row r="143" spans="1:14" x14ac:dyDescent="0.2">
      <c r="A143" s="592" t="s">
        <v>398</v>
      </c>
      <c r="B143" s="556" t="str">
        <f>IFERROR(INDEX(B$1:B$100,MATCH(A143,I$1:I$100,0)),"")</f>
        <v>Boriss Klubov</v>
      </c>
      <c r="C143" s="557">
        <v>9</v>
      </c>
      <c r="D143" s="564"/>
      <c r="E143" s="565"/>
      <c r="F143" s="645"/>
      <c r="G143" s="55"/>
      <c r="H143" s="55"/>
      <c r="I143" s="55"/>
      <c r="J143" s="668"/>
      <c r="K143" s="668"/>
      <c r="L143" s="668"/>
      <c r="M143" s="668"/>
      <c r="N143" s="668"/>
    </row>
    <row r="144" spans="1:14" x14ac:dyDescent="0.2">
      <c r="A144" s="592"/>
      <c r="B144" s="644"/>
      <c r="C144" s="560" t="str">
        <f>IF(COUNT(C143,C145)=2,IF(C143&gt;C145,B143,B145),"")</f>
        <v>Oksana Sažina</v>
      </c>
      <c r="D144" s="566"/>
      <c r="E144" s="562">
        <v>13</v>
      </c>
      <c r="F144" s="564"/>
      <c r="G144" s="55"/>
      <c r="H144" s="55"/>
      <c r="I144" s="55"/>
      <c r="J144" s="668"/>
      <c r="K144" s="668"/>
      <c r="L144" s="668"/>
      <c r="M144" s="668"/>
      <c r="N144" s="668"/>
    </row>
    <row r="145" spans="1:14" x14ac:dyDescent="0.2">
      <c r="A145" s="592" t="s">
        <v>400</v>
      </c>
      <c r="B145" s="561" t="str">
        <f>IFERROR(INDEX(B$1:B$100,MATCH(A145,I$1:I$100,0)),"")</f>
        <v>Oksana Sažina</v>
      </c>
      <c r="C145" s="562">
        <v>13</v>
      </c>
      <c r="D145" s="55"/>
      <c r="E145" s="554"/>
      <c r="F145" s="564"/>
      <c r="G145" s="55"/>
      <c r="H145" s="55"/>
      <c r="I145" s="55"/>
      <c r="J145" s="668"/>
      <c r="K145" s="668"/>
      <c r="L145" s="668"/>
      <c r="M145" s="668"/>
      <c r="N145" s="668"/>
    </row>
    <row r="146" spans="1:14" ht="13.5" thickBot="1" x14ac:dyDescent="0.25">
      <c r="A146" s="593"/>
      <c r="B146" s="539"/>
      <c r="C146" s="55"/>
      <c r="D146" s="55"/>
      <c r="E146" s="554"/>
      <c r="F146" s="564"/>
      <c r="G146" s="55"/>
      <c r="H146" s="567" t="str">
        <f>IF(COUNT(G142,G150)=2,IF(G142&gt;G150,E142,E150),"")</f>
        <v>Matti Vinni</v>
      </c>
      <c r="I146" s="55"/>
      <c r="J146" s="668"/>
      <c r="K146" s="668"/>
      <c r="L146" s="668"/>
      <c r="M146" s="668"/>
      <c r="N146" s="668"/>
    </row>
    <row r="147" spans="1:14" x14ac:dyDescent="0.2">
      <c r="A147" s="555" t="s">
        <v>396</v>
      </c>
      <c r="B147" s="556" t="str">
        <f>IFERROR(INDEX(B$1:B$100,MATCH(A147,I$1:I$100,0)),"")</f>
        <v>Tõnu Piik</v>
      </c>
      <c r="C147" s="557">
        <v>13</v>
      </c>
      <c r="D147" s="55"/>
      <c r="E147" s="55"/>
      <c r="F147" s="564"/>
      <c r="G147" s="568"/>
      <c r="H147" s="569" t="s">
        <v>399</v>
      </c>
      <c r="I147" s="570"/>
      <c r="J147" s="668"/>
      <c r="K147" s="668"/>
      <c r="L147" s="668"/>
      <c r="M147" s="668"/>
      <c r="N147" s="668"/>
    </row>
    <row r="148" spans="1:14" x14ac:dyDescent="0.2">
      <c r="A148" s="592"/>
      <c r="B148" s="644"/>
      <c r="C148" s="560" t="str">
        <f>IF(COUNT(C147,C149)=2,IF(C147&gt;C149,B147,B149),"")</f>
        <v>Tõnu Piik</v>
      </c>
      <c r="D148" s="55"/>
      <c r="E148" s="915">
        <v>0</v>
      </c>
      <c r="F148" s="564"/>
      <c r="G148" s="554"/>
      <c r="H148" s="55"/>
      <c r="I148" s="55"/>
      <c r="J148" s="668"/>
      <c r="K148" s="668"/>
      <c r="L148" s="668"/>
      <c r="M148" s="668"/>
      <c r="N148" s="668"/>
    </row>
    <row r="149" spans="1:14" x14ac:dyDescent="0.2">
      <c r="A149" s="592" t="s">
        <v>397</v>
      </c>
      <c r="B149" s="561" t="str">
        <f>IFERROR(INDEX(B$1:B$100,MATCH(A149,I$1:I$100,0)),"")</f>
        <v>Jaan Saar</v>
      </c>
      <c r="C149" s="562">
        <v>1</v>
      </c>
      <c r="D149" s="645"/>
      <c r="E149" s="55"/>
      <c r="F149" s="564"/>
      <c r="G149" s="554"/>
      <c r="H149" s="55"/>
      <c r="I149" s="55"/>
      <c r="J149" s="668"/>
      <c r="K149" s="668"/>
      <c r="L149" s="668"/>
      <c r="M149" s="668"/>
      <c r="N149" s="668"/>
    </row>
    <row r="150" spans="1:14" x14ac:dyDescent="0.2">
      <c r="A150" s="592"/>
      <c r="B150" s="539"/>
      <c r="C150" s="55"/>
      <c r="D150" s="564"/>
      <c r="E150" s="560" t="str">
        <f>IF(COUNT(E148,E152)=2,IF(E148&gt;E152,C148,C152),"")</f>
        <v>Matti Vinni</v>
      </c>
      <c r="F150" s="566"/>
      <c r="G150" s="562">
        <v>13</v>
      </c>
      <c r="H150" s="55"/>
      <c r="I150" s="55"/>
      <c r="J150" s="668"/>
      <c r="K150" s="668"/>
      <c r="L150" s="668"/>
      <c r="M150" s="668"/>
      <c r="N150" s="668"/>
    </row>
    <row r="151" spans="1:14" ht="13.5" thickBot="1" x14ac:dyDescent="0.25">
      <c r="A151" s="592" t="s">
        <v>403</v>
      </c>
      <c r="B151" s="556" t="str">
        <f>IFERROR(INDEX(B$1:B$100,MATCH(A151,I$1:I$100,0)),"")</f>
        <v>Tarmo Bombe</v>
      </c>
      <c r="C151" s="557">
        <v>2</v>
      </c>
      <c r="D151" s="564"/>
      <c r="E151" s="565"/>
      <c r="F151" s="554"/>
      <c r="G151" s="554"/>
      <c r="H151" s="567" t="str">
        <f>IF(COUNT(G142,G150)=2,IF(G142&lt;G150,E142,E150),"")</f>
        <v>Oksana Sažina</v>
      </c>
      <c r="I151" s="571"/>
      <c r="J151" s="668"/>
      <c r="K151" s="668"/>
      <c r="L151" s="668"/>
      <c r="M151" s="668"/>
      <c r="N151" s="668"/>
    </row>
    <row r="152" spans="1:14" x14ac:dyDescent="0.2">
      <c r="A152" s="592"/>
      <c r="B152" s="644"/>
      <c r="C152" s="560" t="str">
        <f>IF(COUNT(C151,C153)=2,IF(C151&gt;C153,B151,B153),"")</f>
        <v>Matti Vinni</v>
      </c>
      <c r="D152" s="566"/>
      <c r="E152" s="562">
        <v>13</v>
      </c>
      <c r="F152" s="55"/>
      <c r="G152" s="554"/>
      <c r="H152" s="569" t="s">
        <v>402</v>
      </c>
      <c r="I152" s="554"/>
      <c r="J152" s="668"/>
      <c r="K152" s="668"/>
      <c r="L152" s="668"/>
      <c r="M152" s="668"/>
      <c r="N152" s="668"/>
    </row>
    <row r="153" spans="1:14" x14ac:dyDescent="0.2">
      <c r="A153" s="592" t="s">
        <v>401</v>
      </c>
      <c r="B153" s="561" t="str">
        <f>IFERROR(INDEX(B$1:B$100,MATCH(A153,I$1:I$100,0)),"")</f>
        <v>Matti Vinni</v>
      </c>
      <c r="C153" s="650">
        <v>13</v>
      </c>
      <c r="D153" s="55"/>
      <c r="E153" s="554"/>
      <c r="F153" s="554"/>
      <c r="G153" s="554"/>
      <c r="H153" s="55"/>
      <c r="I153" s="55"/>
      <c r="J153" s="668"/>
      <c r="K153" s="668"/>
      <c r="L153" s="668"/>
      <c r="M153" s="668"/>
      <c r="N153" s="668"/>
    </row>
    <row r="154" spans="1:14" x14ac:dyDescent="0.2">
      <c r="A154" s="538"/>
      <c r="B154" s="539"/>
      <c r="C154" s="55"/>
      <c r="D154" s="55"/>
      <c r="E154" s="551" t="str">
        <f>IF(COUNT(E140,E144)=2,IF(E140&lt;E144,C140,C144),"")</f>
        <v>Andrei Grintšak</v>
      </c>
      <c r="F154" s="55"/>
      <c r="G154" s="557">
        <v>13</v>
      </c>
      <c r="H154" s="55"/>
      <c r="I154" s="55"/>
      <c r="J154" s="668"/>
      <c r="K154" s="668"/>
      <c r="L154" s="668"/>
      <c r="M154" s="668"/>
      <c r="N154" s="668"/>
    </row>
    <row r="155" spans="1:14" ht="13.5" thickBot="1" x14ac:dyDescent="0.25">
      <c r="A155" s="55"/>
      <c r="B155" s="55"/>
      <c r="C155" s="55"/>
      <c r="D155" s="55"/>
      <c r="E155" s="646"/>
      <c r="F155" s="645"/>
      <c r="G155" s="571"/>
      <c r="H155" s="567" t="str">
        <f>IF(COUNT(G154,G156)=2,IF(G154&gt;G156,E154,E156),"")</f>
        <v>Andrei Grintšak</v>
      </c>
      <c r="I155" s="571"/>
      <c r="J155" s="668"/>
      <c r="K155" s="668"/>
      <c r="L155" s="668"/>
      <c r="M155" s="668"/>
      <c r="N155" s="668"/>
    </row>
    <row r="156" spans="1:14" x14ac:dyDescent="0.2">
      <c r="A156" s="55"/>
      <c r="B156" s="55"/>
      <c r="C156" s="55"/>
      <c r="D156" s="55"/>
      <c r="E156" s="572" t="str">
        <f>IF(COUNT(E148,E152)=2,IF(E148&lt;E152,C148,C152),"")</f>
        <v>Tõnu Piik</v>
      </c>
      <c r="F156" s="566"/>
      <c r="G156" s="650">
        <v>0</v>
      </c>
      <c r="H156" s="523" t="s">
        <v>404</v>
      </c>
      <c r="I156" s="554"/>
      <c r="J156" s="668"/>
      <c r="K156" s="668"/>
      <c r="L156" s="668"/>
      <c r="M156" s="668"/>
      <c r="N156" s="668"/>
    </row>
    <row r="157" spans="1:14" x14ac:dyDescent="0.2">
      <c r="A157" s="55"/>
      <c r="B157" s="55"/>
      <c r="C157" s="55"/>
      <c r="D157" s="55"/>
      <c r="E157" s="55"/>
      <c r="F157" s="55"/>
      <c r="G157" s="55"/>
      <c r="H157" s="554"/>
      <c r="I157" s="554"/>
      <c r="J157" s="668"/>
      <c r="K157" s="668"/>
      <c r="L157" s="668"/>
      <c r="M157" s="668"/>
      <c r="N157" s="668"/>
    </row>
    <row r="158" spans="1:14" ht="13.5" thickBot="1" x14ac:dyDescent="0.25">
      <c r="A158" s="55"/>
      <c r="B158" s="55"/>
      <c r="C158" s="55"/>
      <c r="D158" s="55"/>
      <c r="E158" s="554"/>
      <c r="F158" s="554"/>
      <c r="G158" s="55"/>
      <c r="H158" s="567" t="str">
        <f>IF(COUNT(G154,G156)=2,IF(G154&lt;G156,E154,E156),"")</f>
        <v>Tõnu Piik</v>
      </c>
      <c r="I158" s="571"/>
      <c r="J158" s="668"/>
      <c r="K158" s="668"/>
      <c r="L158" s="668"/>
      <c r="M158" s="668"/>
      <c r="N158" s="668"/>
    </row>
    <row r="159" spans="1:14" x14ac:dyDescent="0.2">
      <c r="A159" s="55"/>
      <c r="B159" s="55"/>
      <c r="C159" s="55"/>
      <c r="D159" s="55"/>
      <c r="E159" s="55"/>
      <c r="F159" s="55"/>
      <c r="G159" s="55"/>
      <c r="H159" s="538" t="s">
        <v>405</v>
      </c>
      <c r="I159" s="55"/>
      <c r="J159" s="668"/>
      <c r="K159" s="668"/>
      <c r="L159" s="668"/>
      <c r="M159" s="668"/>
      <c r="N159" s="668"/>
    </row>
    <row r="160" spans="1:14" x14ac:dyDescent="0.2">
      <c r="A160" s="55"/>
      <c r="B160" s="55"/>
      <c r="C160" s="572" t="str">
        <f>IF(COUNT(C139,C141)=2,IF(C139&lt;C141,B139,B141),"")</f>
        <v>Tõnu Kapper</v>
      </c>
      <c r="D160" s="55"/>
      <c r="E160" s="557">
        <v>12</v>
      </c>
      <c r="F160" s="557"/>
      <c r="G160" s="557"/>
      <c r="H160" s="55"/>
      <c r="I160" s="55"/>
      <c r="J160" s="668"/>
      <c r="K160" s="668"/>
      <c r="L160" s="668"/>
      <c r="M160" s="668"/>
      <c r="N160" s="668"/>
    </row>
    <row r="161" spans="1:14" x14ac:dyDescent="0.2">
      <c r="A161" s="55"/>
      <c r="B161" s="55"/>
      <c r="C161" s="647"/>
      <c r="D161" s="648"/>
      <c r="E161" s="560" t="str">
        <f>IF(COUNT(E160,E162)=2,IF(E160&gt;E162,C160,C162),"")</f>
        <v>Boriss Klubov</v>
      </c>
      <c r="F161" s="55"/>
      <c r="G161" s="557">
        <v>13</v>
      </c>
      <c r="H161" s="55"/>
      <c r="I161" s="55"/>
      <c r="J161" s="668"/>
      <c r="K161" s="668"/>
      <c r="L161" s="668"/>
      <c r="M161" s="668"/>
      <c r="N161" s="668"/>
    </row>
    <row r="162" spans="1:14" x14ac:dyDescent="0.2">
      <c r="A162" s="55"/>
      <c r="B162" s="55"/>
      <c r="C162" s="572" t="str">
        <f>IF(COUNT(C143,C145)=2,IF(C143&lt;C145,B143,B145),"")</f>
        <v>Boriss Klubov</v>
      </c>
      <c r="D162" s="574"/>
      <c r="E162" s="562">
        <v>13</v>
      </c>
      <c r="F162" s="648"/>
      <c r="G162" s="557"/>
      <c r="H162" s="55"/>
      <c r="I162" s="55"/>
      <c r="J162" s="668"/>
      <c r="K162" s="668"/>
      <c r="L162" s="668"/>
      <c r="M162" s="668"/>
      <c r="N162" s="668"/>
    </row>
    <row r="163" spans="1:14" ht="13.5" thickBot="1" x14ac:dyDescent="0.25">
      <c r="A163" s="55"/>
      <c r="B163" s="55"/>
      <c r="C163" s="557"/>
      <c r="D163" s="557"/>
      <c r="E163" s="55"/>
      <c r="F163" s="576"/>
      <c r="G163" s="557"/>
      <c r="H163" s="567" t="str">
        <f>IF(COUNT(G161,G165)=2,IF(G161&gt;G165,E161,E165),"")</f>
        <v>Boriss Klubov</v>
      </c>
      <c r="I163" s="55"/>
      <c r="J163" s="668"/>
      <c r="K163" s="668"/>
      <c r="L163" s="668"/>
      <c r="M163" s="668"/>
      <c r="N163" s="668"/>
    </row>
    <row r="164" spans="1:14" x14ac:dyDescent="0.2">
      <c r="A164" s="55"/>
      <c r="B164" s="55"/>
      <c r="C164" s="572" t="str">
        <f>IF(COUNT(C147,C149)=2,IF(C147&lt;C149,B147,B149),"")</f>
        <v>Jaan Saar</v>
      </c>
      <c r="D164" s="557"/>
      <c r="E164" s="557">
        <v>12</v>
      </c>
      <c r="F164" s="576"/>
      <c r="G164" s="577"/>
      <c r="H164" s="569" t="s">
        <v>406</v>
      </c>
      <c r="I164" s="570"/>
      <c r="J164" s="668"/>
      <c r="K164" s="668"/>
      <c r="L164" s="668"/>
      <c r="M164" s="668"/>
      <c r="N164" s="668"/>
    </row>
    <row r="165" spans="1:14" x14ac:dyDescent="0.2">
      <c r="A165" s="55"/>
      <c r="B165" s="55"/>
      <c r="C165" s="647"/>
      <c r="D165" s="648"/>
      <c r="E165" s="560" t="str">
        <f>IF(COUNT(E164,E166)=2,IF(E164&gt;E166,C164,C166),"")</f>
        <v>Tarmo Bombe</v>
      </c>
      <c r="F165" s="566"/>
      <c r="G165" s="562">
        <v>10</v>
      </c>
      <c r="H165" s="55"/>
      <c r="I165" s="55"/>
      <c r="J165" s="668"/>
      <c r="K165" s="668"/>
      <c r="L165" s="668"/>
      <c r="M165" s="668"/>
      <c r="N165" s="668"/>
    </row>
    <row r="166" spans="1:14" ht="13.5" thickBot="1" x14ac:dyDescent="0.25">
      <c r="A166" s="55"/>
      <c r="B166" s="55"/>
      <c r="C166" s="572" t="str">
        <f>IF(COUNT(C151,C153)=2,IF(C151&lt;C153,B151,B153),"")</f>
        <v>Tarmo Bombe</v>
      </c>
      <c r="D166" s="574"/>
      <c r="E166" s="562">
        <v>13</v>
      </c>
      <c r="F166" s="557"/>
      <c r="G166" s="575"/>
      <c r="H166" s="567" t="str">
        <f>IF(COUNT(G161,G165)=2,IF(G161&lt;G165,E161,E165),"")</f>
        <v>Tarmo Bombe</v>
      </c>
      <c r="I166" s="571"/>
      <c r="J166" s="668"/>
      <c r="K166" s="668"/>
      <c r="L166" s="668"/>
      <c r="M166" s="668"/>
      <c r="N166" s="668"/>
    </row>
    <row r="167" spans="1:14" x14ac:dyDescent="0.2">
      <c r="A167" s="55"/>
      <c r="B167" s="55"/>
      <c r="C167" s="557"/>
      <c r="D167" s="557"/>
      <c r="E167" s="557"/>
      <c r="F167" s="557"/>
      <c r="G167" s="575"/>
      <c r="H167" s="569" t="s">
        <v>407</v>
      </c>
      <c r="I167" s="554"/>
      <c r="J167" s="668"/>
      <c r="K167" s="668"/>
      <c r="L167" s="668"/>
      <c r="M167" s="668"/>
      <c r="N167" s="668"/>
    </row>
    <row r="168" spans="1:14" x14ac:dyDescent="0.2">
      <c r="A168" s="55"/>
      <c r="B168" s="55"/>
      <c r="C168" s="557"/>
      <c r="D168" s="575"/>
      <c r="E168" s="551" t="str">
        <f>IF(COUNT(E160,E162)=2,IF(E160&lt;E162,C160,C162),"")</f>
        <v>Tõnu Kapper</v>
      </c>
      <c r="F168" s="55"/>
      <c r="G168" s="557">
        <v>13</v>
      </c>
      <c r="H168" s="554"/>
      <c r="I168" s="554"/>
      <c r="J168" s="668"/>
      <c r="K168" s="668"/>
      <c r="L168" s="668"/>
      <c r="M168" s="668"/>
      <c r="N168" s="668"/>
    </row>
    <row r="169" spans="1:14" ht="13.5" thickBot="1" x14ac:dyDescent="0.25">
      <c r="A169" s="55"/>
      <c r="B169" s="55"/>
      <c r="C169" s="557"/>
      <c r="D169" s="575"/>
      <c r="E169" s="646"/>
      <c r="F169" s="645"/>
      <c r="G169" s="571"/>
      <c r="H169" s="567" t="str">
        <f>IF(COUNT(G168,G170)=2,IF(G168&gt;G170,E168,E170),"")</f>
        <v>Tõnu Kapper</v>
      </c>
      <c r="I169" s="571"/>
      <c r="J169" s="668"/>
      <c r="K169" s="668"/>
      <c r="L169" s="668"/>
      <c r="M169" s="668"/>
      <c r="N169" s="668"/>
    </row>
    <row r="170" spans="1:14" x14ac:dyDescent="0.2">
      <c r="A170" s="55"/>
      <c r="B170" s="55"/>
      <c r="C170" s="557"/>
      <c r="D170" s="575"/>
      <c r="E170" s="572" t="str">
        <f>IF(COUNT(E164,E166)=2,IF(E164&lt;E166,C164,C166),"")</f>
        <v>Jaan Saar</v>
      </c>
      <c r="F170" s="566"/>
      <c r="G170" s="848">
        <v>12</v>
      </c>
      <c r="H170" s="569" t="s">
        <v>408</v>
      </c>
      <c r="I170" s="554"/>
      <c r="J170" s="668"/>
      <c r="K170" s="668"/>
      <c r="L170" s="668"/>
      <c r="M170" s="668"/>
      <c r="N170" s="668"/>
    </row>
    <row r="171" spans="1:14" x14ac:dyDescent="0.2">
      <c r="A171" s="55"/>
      <c r="B171" s="55"/>
      <c r="C171" s="55"/>
      <c r="D171" s="554"/>
      <c r="E171" s="55"/>
      <c r="F171" s="55"/>
      <c r="G171" s="55"/>
      <c r="H171" s="554"/>
      <c r="I171" s="554"/>
      <c r="J171" s="668"/>
      <c r="K171" s="668"/>
      <c r="L171" s="668"/>
      <c r="M171" s="668"/>
      <c r="N171" s="668"/>
    </row>
    <row r="172" spans="1:14" ht="13.5" thickBot="1" x14ac:dyDescent="0.25">
      <c r="A172" s="55"/>
      <c r="B172" s="55"/>
      <c r="C172" s="55"/>
      <c r="D172" s="55"/>
      <c r="E172" s="554"/>
      <c r="F172" s="554"/>
      <c r="G172" s="55"/>
      <c r="H172" s="571" t="str">
        <f>IF(COUNT(G168,G170)=2,IF(G168&lt;G170,E168,E170),"")</f>
        <v>Jaan Saar</v>
      </c>
      <c r="I172" s="571"/>
      <c r="J172" s="668"/>
      <c r="K172" s="668"/>
      <c r="L172" s="668"/>
      <c r="M172" s="668"/>
      <c r="N172" s="668"/>
    </row>
    <row r="173" spans="1:14" x14ac:dyDescent="0.2">
      <c r="A173" s="578"/>
      <c r="B173" s="579"/>
      <c r="C173" s="527"/>
      <c r="D173" s="527"/>
      <c r="E173" s="527"/>
      <c r="F173" s="527"/>
      <c r="G173" s="528"/>
      <c r="H173" s="569" t="s">
        <v>500</v>
      </c>
      <c r="I173" s="506"/>
      <c r="J173" s="668"/>
      <c r="K173" s="668"/>
      <c r="L173" s="668"/>
      <c r="M173" s="668"/>
      <c r="N173" s="668"/>
    </row>
    <row r="174" spans="1:14" x14ac:dyDescent="0.2">
      <c r="A174" s="668"/>
      <c r="B174" s="668"/>
      <c r="C174" s="668"/>
      <c r="D174" s="668"/>
      <c r="E174" s="668"/>
      <c r="F174" s="668"/>
      <c r="G174" s="668"/>
      <c r="H174" s="668"/>
      <c r="I174" s="668"/>
      <c r="J174" s="668"/>
      <c r="K174" s="668"/>
      <c r="L174" s="668"/>
      <c r="M174" s="668"/>
      <c r="N174" s="668"/>
    </row>
    <row r="175" spans="1:14" x14ac:dyDescent="0.2">
      <c r="A175" s="553" t="s">
        <v>638</v>
      </c>
      <c r="B175" s="554"/>
      <c r="C175" s="525"/>
      <c r="D175" s="525"/>
      <c r="E175" s="525"/>
      <c r="F175" s="527"/>
      <c r="G175" s="550"/>
      <c r="H175" s="55"/>
      <c r="I175" s="55"/>
      <c r="J175" s="55"/>
      <c r="K175" s="55"/>
      <c r="L175" s="55"/>
      <c r="M175" s="55"/>
      <c r="N175" s="55"/>
    </row>
    <row r="176" spans="1:14" x14ac:dyDescent="0.2">
      <c r="A176" s="55"/>
      <c r="B176" s="55"/>
      <c r="C176" s="55"/>
      <c r="D176" s="55"/>
      <c r="E176" s="55"/>
      <c r="F176" s="55"/>
      <c r="G176" s="55"/>
      <c r="H176" s="55"/>
      <c r="I176" s="55"/>
      <c r="J176" s="55"/>
      <c r="K176" s="55"/>
      <c r="L176" s="55"/>
      <c r="M176" s="55"/>
      <c r="N176" s="55"/>
    </row>
    <row r="177" spans="1:14" x14ac:dyDescent="0.2">
      <c r="A177" s="500" t="s">
        <v>13</v>
      </c>
      <c r="B177" s="501"/>
      <c r="C177" s="502">
        <v>1</v>
      </c>
      <c r="D177" s="502">
        <v>2</v>
      </c>
      <c r="E177" s="502">
        <v>3</v>
      </c>
      <c r="F177" s="502">
        <v>4</v>
      </c>
      <c r="G177" s="502"/>
      <c r="H177" s="502" t="s">
        <v>363</v>
      </c>
      <c r="I177" s="501" t="s">
        <v>26</v>
      </c>
      <c r="J177" s="503" t="s">
        <v>156</v>
      </c>
      <c r="K177" s="504" t="s">
        <v>156</v>
      </c>
      <c r="L177" s="505" t="s">
        <v>364</v>
      </c>
      <c r="M177" s="506" t="b">
        <f>OR(AND(COUNTA(B178:B182)=3,COUNTA(C178:G182)=6),AND(COUNTA(B178:B182)=4,COUNTA(C178:G182)=12),AND(COUNTA(B178:B182)=5,COUNTA(C178:G182)=20))</f>
        <v>1</v>
      </c>
      <c r="N177" s="668"/>
    </row>
    <row r="178" spans="1:14" x14ac:dyDescent="0.2">
      <c r="A178" s="500">
        <v>1</v>
      </c>
      <c r="B178" s="583" t="str">
        <f>IFERROR(INDEX(B$7:B$100,MATCH("A5",I$7:I$100,0)),"")</f>
        <v>Emil Murzajev</v>
      </c>
      <c r="C178" s="509"/>
      <c r="D178" s="510">
        <v>11</v>
      </c>
      <c r="E178" s="510">
        <v>1</v>
      </c>
      <c r="F178" s="510">
        <v>5</v>
      </c>
      <c r="G178" s="510"/>
      <c r="H178" s="511" t="str">
        <f>(IF(D178-C179&gt;0,1)+IF(E178-C180&gt;0,1)+IF(F178-C181&gt;0,1)+IF(G178-C182&gt;0,1))&amp;"-"&amp;(IF(D178-C179&lt;0,1)+IF(E178-C180&lt;0,1)+IF(F178-C181&lt;0,1)+IF(G178-C182&lt;0,1))</f>
        <v>0-3</v>
      </c>
      <c r="I178" s="510" t="str">
        <f>IF(AND(B178&lt;&gt;"",M$177=TRUE),A$177&amp;RANK(M178,M$178:M$182,0),"")</f>
        <v>K4</v>
      </c>
      <c r="J178" s="512">
        <f>VALUE(LEFT(H178,1))</f>
        <v>0</v>
      </c>
      <c r="K178" s="513">
        <f>IF(AND(J178=1,J179=1,D178&gt;C179),1)+IF(AND(J178=1,J180=1,E178&gt;C180),1)+IF(AND(J178=1,J181=1,F178&gt;C181),1)+IF(AND(J178=1,J182=1,G178&gt;C182),1)+IF(AND(J178=2,J179=2,D178&gt;C179),1)+IF(AND(J178=2,J180=2,E178&gt;C180),1)+IF(AND(J178=2,J181=2,F178&gt;C181),1)+IF(AND(J178=2,J182=2,G178&gt;C182),1)+IF(AND(J178=3,J179=3,D178&gt;C179),1)+IF(AND(J178=3,J180=3,E178&gt;C180),1)+IF(AND(J178=3,J181=3,F178&gt;C181),1)+IF(AND(J178=3,J182=3,G178&gt;C182),1)</f>
        <v>0</v>
      </c>
      <c r="L178" s="514">
        <f>IF(AND(J178=1,J179=1),D178-C179)+IF(AND(J178=1,J180=1),E178-C180)+IF(AND(J178=1,J181=1),F178-C181)+IF(AND(J178=1,J182=1),G178-C182)+IF(AND(J178=2,J179=2),D178-C179)+IF(AND(J178=2,J180=2),E178-C180)+IF(AND(J178=2,J181=2),F178-C181)+IF(AND(J178=2,J182=2),G178-C182)+IF(AND(J178=3,J179=3),D178-C179)+IF(AND(J178=3,J180=3),E178-C180)+IF(AND(J178=3,J181=3),F178-C181)+IF(AND(J178=3,J182=3),G178-C182)</f>
        <v>0</v>
      </c>
      <c r="M178" s="515">
        <f>10000*J178+K178*100+L178</f>
        <v>0</v>
      </c>
      <c r="N178" s="668"/>
    </row>
    <row r="179" spans="1:14" x14ac:dyDescent="0.2">
      <c r="A179" s="500">
        <v>2</v>
      </c>
      <c r="B179" s="583" t="str">
        <f>IFERROR(INDEX(B$7:B$100,MATCH("B5",I$7:I$100,0)),"")</f>
        <v>Lemmit Toomra</v>
      </c>
      <c r="C179" s="510">
        <v>13</v>
      </c>
      <c r="D179" s="509"/>
      <c r="E179" s="510">
        <v>13</v>
      </c>
      <c r="F179" s="510">
        <v>11</v>
      </c>
      <c r="G179" s="510"/>
      <c r="H179" s="511" t="str">
        <f>(IF(C179-D178&gt;0,1)+IF(E179-D180&gt;0,1)+IF(F179-D181&gt;0,1)+IF(G179-D182&gt;0,1))&amp;"-"&amp;(IF(C179-D178&lt;0,1)+IF(E179-D180&lt;0,1)+IF(F179-D181&lt;0,1)+IF(G179-D182&lt;0,1))</f>
        <v>2-1</v>
      </c>
      <c r="I179" s="510" t="str">
        <f>IF(AND(B179&lt;&gt;"",M$177=TRUE),A$177&amp;RANK(M179,M$178:M$182,0),"")</f>
        <v>K2</v>
      </c>
      <c r="J179" s="512">
        <f t="shared" ref="J179:J182" si="16">VALUE(LEFT(H179,1))</f>
        <v>2</v>
      </c>
      <c r="K179" s="639">
        <f>IF(AND(J179=1,J178=1,C179&gt;D178),1)+IF(AND(J179=1,J180=1,E179&gt;D180),1)+IF(AND(J179=1,J181=1,F179&gt;D181),1)+IF(AND(J179=1,J182=1,G179&gt;D182),1)+IF(AND(J179=2,J178=2,C179&gt;D178),1)+IF(AND(J179=2,J180=2,E179&gt;D180),1)+IF(AND(J179=2,J181=2,F179&gt;D181),1)+IF(AND(J179=2,J182=2,G179&gt;D182),1)+IF(AND(J179=3,J178=3,C179&gt;D178),1)+IF(AND(J179=3,J180=3,E179&gt;D180),1)+IF(AND(J179=3,J181=3,F179&gt;D181),1)+IF(AND(J179=3,J182=3,G179&gt;D182),1)</f>
        <v>0</v>
      </c>
      <c r="L179" s="514">
        <f>IF(AND(J179=1,J178=1),C179-D178)+IF(AND(J179=1,J180=1),E179-D180)+IF(AND(J179=1,J181=1),F179-D181)+IF(AND(J179=1,J182=1),G179-D182)+IF(AND(J179=2,J178=2),C179-D178)+IF(AND(J179=2,J180=2),E179-D180)+IF(AND(J179=2,J181=2),F179-D181)+IF(AND(J179=2,J182=2),G179-D182)+IF(AND(J179=3,J178=3),C179-D178)+IF(AND(J179=3,J180=3),E179-D180)+IF(AND(J179=3,J181=3),F179-D181)+IF(AND(J179=3,J182=3),G179-D182)</f>
        <v>0</v>
      </c>
      <c r="M179" s="515">
        <f t="shared" ref="M179:M182" si="17">10000*J179+K179*100+L179</f>
        <v>20000</v>
      </c>
      <c r="N179" s="668"/>
    </row>
    <row r="180" spans="1:14" x14ac:dyDescent="0.2">
      <c r="A180" s="500">
        <v>3</v>
      </c>
      <c r="B180" s="583" t="str">
        <f>IFERROR(INDEX(B$7:B$100,MATCH("C5",I$7:I$100,0)),"")</f>
        <v>Argo Sepp</v>
      </c>
      <c r="C180" s="510">
        <v>13</v>
      </c>
      <c r="D180" s="520">
        <v>7</v>
      </c>
      <c r="E180" s="509"/>
      <c r="F180" s="510">
        <v>0</v>
      </c>
      <c r="G180" s="510"/>
      <c r="H180" s="511" t="str">
        <f>(IF(C180-E178&gt;0,1)+IF(D180-E179&gt;0,1)+IF(F180-E181&gt;0,1)+IF(G180-E182&gt;0,1))&amp;"-"&amp;(IF(C180-E178&lt;0,1)+IF(D180-E179&lt;0,1)+IF(F180-E181&lt;0,1)+IF(G180-E182&lt;0,1))</f>
        <v>1-2</v>
      </c>
      <c r="I180" s="510" t="str">
        <f>IF(AND(B180&lt;&gt;"",M$177=TRUE),A$177&amp;RANK(M180,M$178:M$182,0),"")</f>
        <v>K3</v>
      </c>
      <c r="J180" s="512">
        <f t="shared" si="16"/>
        <v>1</v>
      </c>
      <c r="K180" s="639">
        <f>IF(AND(J180=1,J178=1,C180&gt;E178),1)+IF(AND(J180=1,J179=1,D180&gt;E179),1)+IF(AND(J180=1,J181=1,F180&gt;E181),1)+IF(AND(J180=1,J182=1,G180&gt;E182),1)+IF(AND(J180=2,J178=2,C180&gt;E178),1)+IF(AND(J180=2,J179=2,D180&gt;E179),1)+IF(AND(J180=2,J181=2,F180&gt;E181),1)+IF(AND(J180=2,J182=2,G180&gt;E182),1)+IF(AND(J180=3,J178=3,C180&gt;E178),1)+IF(AND(J180=3,J179=3,D180&gt;E179),1)+IF(AND(J180=3,J181=3,F180&gt;E181),1)+IF(AND(J180=3,J182=3,G180&gt;E182),1)</f>
        <v>0</v>
      </c>
      <c r="L180" s="514">
        <f>IF(AND(J180=1,J178=1),C180-E178)+IF(AND(J180=1,J179=1),D180-E179)+IF(AND(J180=1,J181=1),F180-E181)+IF(AND(J180=1,J182=1),G180-E182)+IF(AND(J180=2,J178=2),C180-E178)+IF(AND(J180=2,J179=2),D180-E179)+IF(AND(J180=2,J181=2),F180-E181)+IF(AND(J180=2,J182=2),G180-E182)+IF(AND(J180=3,J178=3),C180-E178)+IF(AND(J180=3,J179=3),D180-E179)+IF(AND(J180=3,J181=3),F180-E181)+IF(AND(J180=3,J182=3),G180-E182)</f>
        <v>0</v>
      </c>
      <c r="M180" s="515">
        <f t="shared" si="17"/>
        <v>10000</v>
      </c>
      <c r="N180" s="668"/>
    </row>
    <row r="181" spans="1:14" x14ac:dyDescent="0.2">
      <c r="A181" s="500">
        <v>4</v>
      </c>
      <c r="B181" s="583" t="str">
        <f>IFERROR(INDEX(B$7:B$100,MATCH("D5",I$7:I$100,0)),"")</f>
        <v>Kenneth Muusikus</v>
      </c>
      <c r="C181" s="510">
        <v>13</v>
      </c>
      <c r="D181" s="520">
        <v>13</v>
      </c>
      <c r="E181" s="510">
        <v>13</v>
      </c>
      <c r="F181" s="509"/>
      <c r="G181" s="522"/>
      <c r="H181" s="511" t="str">
        <f>(IF(C181-F178&gt;0,1)+IF(D181-F179&gt;0,1)+IF(E181-F180&gt;0,1)+IF(G181-F182&gt;0,1))&amp;"-"&amp;(IF(C181-F178&lt;0,1)+IF(D181-F179&lt;0,1)+IF(E181-F180&lt;0,1)+IF(G181-F182&lt;0,1))</f>
        <v>3-0</v>
      </c>
      <c r="I181" s="510" t="str">
        <f>IF(AND(B181&lt;&gt;"",M$177=TRUE),A$177&amp;RANK(M181,M$178:M$182,0),"")</f>
        <v>K1</v>
      </c>
      <c r="J181" s="512">
        <f t="shared" si="16"/>
        <v>3</v>
      </c>
      <c r="K181" s="639">
        <f>IF(AND(J181=1,J178=1,C181&gt;F178),1)+IF(AND(J181=1,J179=1,D181&gt;F179),1)+IF(AND(J181=1,J180=1,E181&gt;F180),1)+IF(AND(J181=1,J182=1,G181&gt;F182),1)+IF(AND(J181=2,J178=2,C181&gt;F178),1)+IF(AND(J181=2,J179=2,D181&gt;F179),1)+IF(AND(J181=2,J180=2,E181&gt;F180),1)+IF(AND(J181=2,J182=2,G181&gt;F182),1)+IF(AND(J181=3,J178=3,C181&gt;F178),1)+IF(AND(J181=3,J179=3,D181&gt;F179),1)+IF(AND(J181=3,J180=3,E181&gt;F180),1)+IF(AND(J181=3,J182=3,G181&gt;F182),1)</f>
        <v>0</v>
      </c>
      <c r="L181" s="514">
        <f>IF(AND(J181=1,J178=1),C181-F178)+IF(AND(J181=1,J179=1),D181-F179)+IF(AND(J181=1,J180=1),E181-F180)+IF(AND(J181=1,J182=1),G181-F182)+IF(AND(J181=2,J178=2),C181-F178)+IF(AND(J181=2,J179=2),D181-F179)+IF(AND(J181=2,J180=2),E181-F180)+IF(AND(J181=2,J182=2),G181-F182)+IF(AND(J181=3,J178=3),C181-F178)+IF(AND(J181=3,J179=3),D181-F179)+IF(AND(J181=3,J180=3),E181-F180)+IF(AND(J181=3,J182=3),G181-F182)</f>
        <v>0</v>
      </c>
      <c r="M181" s="515">
        <f t="shared" si="17"/>
        <v>30000</v>
      </c>
      <c r="N181" s="668"/>
    </row>
    <row r="182" spans="1:14" hidden="1" x14ac:dyDescent="0.2">
      <c r="A182" s="500">
        <v>5</v>
      </c>
      <c r="B182" s="521"/>
      <c r="C182" s="510"/>
      <c r="D182" s="510"/>
      <c r="E182" s="510"/>
      <c r="F182" s="510"/>
      <c r="G182" s="509"/>
      <c r="H182" s="511" t="str">
        <f>(IF(C182-G178&gt;0,1)+IF(D182-G179&gt;0,1)+IF(E182-G180&gt;0,1)+IF(F182-G181&gt;0,1))&amp;"-"&amp;(IF(C182-G178&lt;0,1)+IF(D182-G179&lt;0,1)+IF(E182-G180&lt;0,1)+IF(F182-G181&lt;0,1))</f>
        <v>0-0</v>
      </c>
      <c r="I182" s="510" t="str">
        <f>IF(AND(B182&lt;&gt;"",M$177=TRUE),A$178&amp;RANK(M182,$M178:M$182,0),"")</f>
        <v/>
      </c>
      <c r="J182" s="512">
        <f t="shared" si="16"/>
        <v>0</v>
      </c>
      <c r="K182" s="639">
        <f>IF(AND(J182=1,J178=1,C182&gt;G178),1)+IF(AND(J182=1,J179=1,D182&gt;G179),1)+IF(AND(J182=1,J180=1,E182&gt;G180),1)+IF(AND(J182=1,J181=1,F182&gt;G181),1)+IF(AND(J182=2,J178=2,C182&gt;G178),1)+IF(AND(J182=2,J179=2,D182&gt;G179),1)+IF(AND(J182=2,J180=2,E182&gt;G180),1)+IF(AND(J182=2,J181=2,F182&gt;G181),1)+IF(AND(J182=3,J178=3,C182&gt;G178),1)+IF(AND(J182=3,J179=3,D182&gt;G179),1)+IF(AND(J182=3,J180=3,E182&gt;G180),1)+IF(AND(J182=3,J181=3,F182&gt;G181),1)</f>
        <v>0</v>
      </c>
      <c r="L182" s="514">
        <f>IF(AND(J182=1,J178=1),C182-G178)+IF(AND(J182=1,J179=1),D182-G179)+IF(AND(J182=1,J180=1),E182-G180)+IF(AND(J182=1,J181=1),F182-G181)+IF(AND(J182=2,J178=2),C182-G178)+IF(AND(J182=2,J179=2),D182-G179)+IF(AND(J182=2,J180=2),E182-G180)+IF(AND(J182=2,J181=2),F182-G181)+IF(AND(J182=3,J178=3),C182-G178)+IF(AND(J182=3,J179=3),D182-G179)+IF(AND(J182=3,J180=3),E182-G180)+IF(AND(J182=3,J181=3),F182-G181)</f>
        <v>0</v>
      </c>
      <c r="M182" s="515">
        <f t="shared" si="17"/>
        <v>0</v>
      </c>
      <c r="N182" s="668"/>
    </row>
    <row r="183" spans="1:14" hidden="1" x14ac:dyDescent="0.2">
      <c r="A183" s="55"/>
      <c r="B183" s="55"/>
      <c r="C183" s="55"/>
      <c r="D183" s="55"/>
      <c r="E183" s="55"/>
      <c r="F183" s="55"/>
      <c r="G183" s="55"/>
      <c r="H183" s="55"/>
      <c r="I183" s="55"/>
      <c r="J183" s="55"/>
      <c r="K183" s="55"/>
      <c r="L183" s="55"/>
      <c r="M183" s="55"/>
      <c r="N183" s="55"/>
    </row>
    <row r="184" spans="1:14" hidden="1" x14ac:dyDescent="0.2">
      <c r="A184" s="55"/>
      <c r="B184" s="549" t="s">
        <v>16</v>
      </c>
      <c r="C184" s="550" t="s">
        <v>366</v>
      </c>
      <c r="D184" s="550"/>
      <c r="E184" s="55"/>
      <c r="F184" s="55"/>
      <c r="G184" s="55"/>
      <c r="H184" s="55"/>
      <c r="I184" s="55"/>
      <c r="J184" s="55"/>
      <c r="K184" s="55"/>
      <c r="L184" s="55"/>
      <c r="M184" s="55"/>
      <c r="N184" s="55"/>
    </row>
    <row r="185" spans="1:14" hidden="1" x14ac:dyDescent="0.2">
      <c r="A185" s="55"/>
      <c r="B185" s="549" t="s">
        <v>17</v>
      </c>
      <c r="C185" s="550" t="s">
        <v>367</v>
      </c>
      <c r="D185" s="506"/>
      <c r="E185" s="55"/>
      <c r="F185" s="55"/>
      <c r="G185" s="55"/>
      <c r="H185" s="55"/>
      <c r="I185" s="55"/>
      <c r="J185" s="55"/>
      <c r="K185" s="55"/>
      <c r="L185" s="55"/>
      <c r="M185" s="55"/>
      <c r="N185" s="55"/>
    </row>
    <row r="186" spans="1:14" hidden="1" x14ac:dyDescent="0.2">
      <c r="A186" s="55"/>
      <c r="B186" s="549" t="s">
        <v>18</v>
      </c>
      <c r="C186" s="550" t="s">
        <v>368</v>
      </c>
      <c r="D186" s="506"/>
      <c r="E186" s="55"/>
      <c r="F186" s="55"/>
      <c r="G186" s="55"/>
      <c r="H186" s="55"/>
      <c r="I186" s="55"/>
      <c r="J186" s="55"/>
      <c r="K186" s="55"/>
      <c r="L186" s="55"/>
      <c r="M186" s="55"/>
      <c r="N186" s="55"/>
    </row>
    <row r="187" spans="1:14" x14ac:dyDescent="0.2">
      <c r="A187" s="55"/>
      <c r="B187" s="506"/>
      <c r="C187" s="506"/>
      <c r="D187" s="506"/>
      <c r="E187" s="55"/>
      <c r="F187" s="55"/>
      <c r="J187" s="55"/>
      <c r="K187" s="55"/>
      <c r="L187" s="55"/>
      <c r="M187" s="55"/>
      <c r="N187" s="55"/>
    </row>
    <row r="188" spans="1:14" x14ac:dyDescent="0.2">
      <c r="A188" s="668"/>
      <c r="B188" s="549" t="s">
        <v>16</v>
      </c>
      <c r="C188" s="550" t="s">
        <v>369</v>
      </c>
      <c r="D188" s="550" t="s">
        <v>367</v>
      </c>
      <c r="E188" s="668"/>
      <c r="F188" s="668"/>
      <c r="G188" s="668"/>
      <c r="H188" s="668"/>
      <c r="I188" s="668"/>
      <c r="J188" s="668"/>
      <c r="K188" s="668"/>
      <c r="L188" s="668"/>
      <c r="M188" s="668"/>
      <c r="N188" s="668"/>
    </row>
    <row r="189" spans="1:14" x14ac:dyDescent="0.2">
      <c r="A189" s="668"/>
      <c r="B189" s="549" t="s">
        <v>17</v>
      </c>
      <c r="C189" s="550" t="s">
        <v>366</v>
      </c>
      <c r="D189" s="550" t="s">
        <v>370</v>
      </c>
      <c r="E189" s="668"/>
      <c r="F189" s="668"/>
      <c r="G189" s="668"/>
      <c r="H189" s="668"/>
      <c r="I189" s="668"/>
      <c r="J189" s="668"/>
      <c r="K189" s="668"/>
      <c r="L189" s="668"/>
      <c r="M189" s="668"/>
      <c r="N189" s="668"/>
    </row>
    <row r="190" spans="1:14" x14ac:dyDescent="0.2">
      <c r="A190" s="668"/>
      <c r="B190" s="549" t="s">
        <v>18</v>
      </c>
      <c r="C190" s="550" t="s">
        <v>368</v>
      </c>
      <c r="D190" s="550" t="s">
        <v>371</v>
      </c>
      <c r="E190" s="668"/>
      <c r="F190" s="668"/>
      <c r="G190" s="668"/>
      <c r="H190" s="668"/>
      <c r="I190" s="668"/>
      <c r="J190" s="668"/>
      <c r="K190" s="668"/>
      <c r="L190" s="668"/>
      <c r="M190" s="668"/>
      <c r="N190" s="668"/>
    </row>
    <row r="191" spans="1:14" hidden="1" x14ac:dyDescent="0.2">
      <c r="A191" s="668"/>
      <c r="B191" s="551"/>
      <c r="C191" s="527"/>
      <c r="D191" s="527"/>
      <c r="E191" s="668"/>
      <c r="F191" s="668"/>
      <c r="G191" s="668"/>
      <c r="H191" s="668"/>
      <c r="I191" s="668"/>
      <c r="J191" s="668"/>
      <c r="K191" s="668"/>
      <c r="L191" s="668"/>
      <c r="M191" s="668"/>
      <c r="N191" s="668"/>
    </row>
    <row r="192" spans="1:14" hidden="1" x14ac:dyDescent="0.2">
      <c r="A192" s="668"/>
      <c r="B192" s="549" t="s">
        <v>16</v>
      </c>
      <c r="C192" s="550" t="s">
        <v>372</v>
      </c>
      <c r="D192" s="550" t="s">
        <v>370</v>
      </c>
      <c r="E192" s="668"/>
      <c r="F192" s="668"/>
      <c r="G192" s="668"/>
      <c r="H192" s="668"/>
      <c r="I192" s="668"/>
      <c r="J192" s="668"/>
      <c r="K192" s="668"/>
      <c r="L192" s="668"/>
      <c r="M192" s="668"/>
      <c r="N192" s="668"/>
    </row>
    <row r="193" spans="1:14" hidden="1" x14ac:dyDescent="0.2">
      <c r="A193" s="668"/>
      <c r="B193" s="549" t="s">
        <v>17</v>
      </c>
      <c r="C193" s="550" t="s">
        <v>366</v>
      </c>
      <c r="D193" s="550" t="s">
        <v>373</v>
      </c>
      <c r="E193" s="668"/>
      <c r="F193" s="668"/>
      <c r="G193" s="668"/>
      <c r="H193" s="668"/>
      <c r="I193" s="668"/>
      <c r="J193" s="668"/>
      <c r="K193" s="668"/>
      <c r="L193" s="668"/>
      <c r="M193" s="668"/>
      <c r="N193" s="668"/>
    </row>
    <row r="194" spans="1:14" hidden="1" x14ac:dyDescent="0.2">
      <c r="A194" s="668"/>
      <c r="B194" s="549" t="s">
        <v>18</v>
      </c>
      <c r="C194" s="550" t="s">
        <v>374</v>
      </c>
      <c r="D194" s="550" t="s">
        <v>371</v>
      </c>
      <c r="E194" s="668"/>
      <c r="F194" s="668"/>
      <c r="G194" s="668"/>
      <c r="H194" s="668"/>
      <c r="I194" s="668"/>
      <c r="J194" s="668"/>
      <c r="K194" s="668"/>
      <c r="L194" s="668"/>
      <c r="M194" s="668"/>
      <c r="N194" s="668"/>
    </row>
    <row r="195" spans="1:14" hidden="1" x14ac:dyDescent="0.2">
      <c r="A195" s="668"/>
      <c r="B195" s="549" t="s">
        <v>19</v>
      </c>
      <c r="C195" s="550" t="s">
        <v>375</v>
      </c>
      <c r="D195" s="550" t="s">
        <v>376</v>
      </c>
      <c r="E195" s="668"/>
      <c r="F195" s="668"/>
      <c r="G195" s="668"/>
      <c r="H195" s="668"/>
      <c r="I195" s="668"/>
      <c r="J195" s="668"/>
      <c r="K195" s="668"/>
      <c r="L195" s="668"/>
      <c r="M195" s="668"/>
      <c r="N195" s="668"/>
    </row>
    <row r="196" spans="1:14" hidden="1" x14ac:dyDescent="0.2">
      <c r="A196" s="668"/>
      <c r="B196" s="549" t="s">
        <v>20</v>
      </c>
      <c r="C196" s="550" t="s">
        <v>367</v>
      </c>
      <c r="D196" s="550" t="s">
        <v>369</v>
      </c>
      <c r="E196" s="668"/>
      <c r="F196" s="668"/>
      <c r="G196" s="668"/>
      <c r="H196" s="668"/>
      <c r="I196" s="668"/>
      <c r="J196" s="668"/>
      <c r="K196" s="668"/>
      <c r="L196" s="668"/>
      <c r="M196" s="668"/>
      <c r="N196" s="668"/>
    </row>
    <row r="197" spans="1:14" x14ac:dyDescent="0.2">
      <c r="A197" s="668"/>
      <c r="B197" s="668"/>
      <c r="C197" s="668"/>
      <c r="D197" s="668"/>
      <c r="E197" s="668"/>
      <c r="F197" s="668"/>
      <c r="G197" s="668"/>
      <c r="H197" s="668"/>
      <c r="I197" s="668"/>
      <c r="J197" s="668"/>
      <c r="K197" s="668"/>
      <c r="L197" s="668"/>
      <c r="M197" s="668"/>
      <c r="N197" s="668"/>
    </row>
    <row r="198" spans="1:14" ht="13.5" thickBot="1" x14ac:dyDescent="0.25">
      <c r="A198" s="668"/>
      <c r="B198" s="668"/>
      <c r="C198" s="668"/>
      <c r="D198" s="668"/>
      <c r="E198" s="668"/>
      <c r="F198" s="668"/>
      <c r="G198" s="640" t="s">
        <v>574</v>
      </c>
      <c r="H198" s="567" t="str">
        <f>IFERROR(INDEX(B$178:B$181,MATCH(G198,I$178:I$181,0)),"")</f>
        <v>Kenneth Muusikus</v>
      </c>
      <c r="I198" s="55"/>
      <c r="J198" s="668"/>
      <c r="K198" s="668"/>
      <c r="L198" s="668"/>
      <c r="M198" s="668"/>
      <c r="N198" s="668"/>
    </row>
    <row r="199" spans="1:14" x14ac:dyDescent="0.2">
      <c r="A199" s="668"/>
      <c r="B199" s="668"/>
      <c r="C199" s="668"/>
      <c r="D199" s="668"/>
      <c r="E199" s="668"/>
      <c r="F199" s="668"/>
      <c r="G199" s="640"/>
      <c r="H199" s="569" t="s">
        <v>501</v>
      </c>
      <c r="I199" s="570"/>
      <c r="J199" s="668"/>
      <c r="K199" s="668"/>
      <c r="L199" s="668"/>
      <c r="M199" s="668"/>
      <c r="N199" s="668"/>
    </row>
    <row r="200" spans="1:14" x14ac:dyDescent="0.2">
      <c r="A200" s="668"/>
      <c r="B200" s="668"/>
      <c r="C200" s="668"/>
      <c r="D200" s="668"/>
      <c r="E200" s="668"/>
      <c r="F200" s="668"/>
      <c r="G200" s="640"/>
      <c r="H200" s="55"/>
      <c r="I200" s="55"/>
      <c r="J200" s="668"/>
      <c r="K200" s="668"/>
      <c r="L200" s="668"/>
      <c r="M200" s="668"/>
      <c r="N200" s="668"/>
    </row>
    <row r="201" spans="1:14" ht="13.5" thickBot="1" x14ac:dyDescent="0.25">
      <c r="A201" s="668"/>
      <c r="B201" s="668"/>
      <c r="C201" s="668"/>
      <c r="D201" s="668"/>
      <c r="E201" s="668"/>
      <c r="F201" s="668"/>
      <c r="G201" s="640" t="s">
        <v>575</v>
      </c>
      <c r="H201" s="567" t="str">
        <f>IFERROR(INDEX(B$178:B$181,MATCH(G201,I$178:I$181,0)),"")</f>
        <v>Lemmit Toomra</v>
      </c>
      <c r="I201" s="571"/>
      <c r="J201" s="668"/>
      <c r="K201" s="668"/>
      <c r="L201" s="668"/>
      <c r="M201" s="668"/>
      <c r="N201" s="668"/>
    </row>
    <row r="202" spans="1:14" x14ac:dyDescent="0.2">
      <c r="A202" s="668"/>
      <c r="B202" s="668"/>
      <c r="C202" s="668"/>
      <c r="D202" s="668"/>
      <c r="E202" s="668"/>
      <c r="F202" s="668"/>
      <c r="G202" s="640"/>
      <c r="H202" s="569" t="s">
        <v>532</v>
      </c>
      <c r="I202" s="554"/>
      <c r="J202" s="668"/>
      <c r="K202" s="668"/>
      <c r="L202" s="668"/>
      <c r="M202" s="668"/>
      <c r="N202" s="668"/>
    </row>
    <row r="203" spans="1:14" x14ac:dyDescent="0.2">
      <c r="A203" s="668"/>
      <c r="B203" s="668"/>
      <c r="C203" s="668"/>
      <c r="D203" s="668"/>
      <c r="E203" s="668"/>
      <c r="F203" s="668"/>
      <c r="G203" s="640"/>
      <c r="H203" s="55"/>
      <c r="I203" s="55"/>
      <c r="J203" s="668"/>
      <c r="K203" s="668"/>
      <c r="L203" s="668"/>
      <c r="M203" s="668"/>
      <c r="N203" s="668"/>
    </row>
    <row r="204" spans="1:14" ht="13.5" thickBot="1" x14ac:dyDescent="0.25">
      <c r="A204" s="668"/>
      <c r="B204" s="668"/>
      <c r="C204" s="668"/>
      <c r="D204" s="668"/>
      <c r="E204" s="668"/>
      <c r="F204" s="668"/>
      <c r="G204" s="640" t="s">
        <v>576</v>
      </c>
      <c r="H204" s="567" t="str">
        <f>IFERROR(INDEX(B$178:B$181,MATCH(G204,I$178:I$181,0)),"")</f>
        <v>Argo Sepp</v>
      </c>
      <c r="I204" s="571"/>
      <c r="J204" s="668"/>
      <c r="K204" s="668"/>
      <c r="L204" s="668"/>
      <c r="M204" s="668"/>
      <c r="N204" s="668"/>
    </row>
    <row r="205" spans="1:14" x14ac:dyDescent="0.2">
      <c r="A205" s="668"/>
      <c r="B205" s="668"/>
      <c r="C205" s="668"/>
      <c r="D205" s="668"/>
      <c r="E205" s="668"/>
      <c r="F205" s="668"/>
      <c r="G205" s="637"/>
      <c r="H205" s="523" t="s">
        <v>544</v>
      </c>
      <c r="I205" s="554"/>
      <c r="J205" s="668"/>
      <c r="K205" s="668"/>
      <c r="L205" s="668"/>
      <c r="M205" s="668"/>
      <c r="N205" s="668"/>
    </row>
    <row r="206" spans="1:14" x14ac:dyDescent="0.2">
      <c r="A206" s="668"/>
      <c r="B206" s="668"/>
      <c r="C206" s="668"/>
      <c r="D206" s="668"/>
      <c r="E206" s="668"/>
      <c r="F206" s="668"/>
      <c r="G206" s="668"/>
      <c r="H206" s="668"/>
      <c r="I206" s="668"/>
      <c r="J206" s="668"/>
      <c r="K206" s="668"/>
      <c r="L206" s="668"/>
      <c r="M206" s="668"/>
      <c r="N206" s="668"/>
    </row>
    <row r="207" spans="1:14" ht="13.5" thickBot="1" x14ac:dyDescent="0.25">
      <c r="A207" s="668"/>
      <c r="B207" s="668"/>
      <c r="C207" s="668"/>
      <c r="D207" s="668"/>
      <c r="E207" s="668"/>
      <c r="F207" s="668"/>
      <c r="G207" s="640" t="s">
        <v>639</v>
      </c>
      <c r="H207" s="567" t="str">
        <f>IFERROR(INDEX(B$178:B$181,MATCH(G207,I$178:I$181,0)),"")</f>
        <v>Emil Murzajev</v>
      </c>
      <c r="I207" s="55"/>
      <c r="J207" s="668"/>
      <c r="K207" s="668"/>
      <c r="L207" s="668"/>
      <c r="M207" s="668"/>
      <c r="N207" s="668"/>
    </row>
    <row r="208" spans="1:14" x14ac:dyDescent="0.2">
      <c r="A208" s="668"/>
      <c r="B208" s="668"/>
      <c r="C208" s="668"/>
      <c r="D208" s="668"/>
      <c r="E208" s="668"/>
      <c r="F208" s="668"/>
      <c r="G208" s="640"/>
      <c r="H208" s="569" t="s">
        <v>545</v>
      </c>
      <c r="I208" s="570"/>
      <c r="J208" s="668"/>
      <c r="K208" s="668"/>
      <c r="L208" s="668"/>
      <c r="M208" s="668"/>
      <c r="N208" s="668"/>
    </row>
    <row r="209" spans="1:14" hidden="1" x14ac:dyDescent="0.2">
      <c r="A209" s="668"/>
      <c r="B209" s="668"/>
      <c r="C209" s="668"/>
      <c r="D209" s="668"/>
      <c r="E209" s="668"/>
      <c r="F209" s="668"/>
      <c r="G209" s="668"/>
      <c r="H209" s="668"/>
      <c r="I209" s="668"/>
      <c r="J209" s="668"/>
      <c r="K209" s="668"/>
      <c r="L209" s="668"/>
      <c r="M209" s="668"/>
      <c r="N209" s="668"/>
    </row>
    <row r="210" spans="1:14" hidden="1" x14ac:dyDescent="0.2">
      <c r="A210" s="668"/>
      <c r="B210" s="668"/>
      <c r="C210" s="668"/>
      <c r="D210" s="668"/>
      <c r="E210" s="668"/>
      <c r="F210" s="668"/>
      <c r="G210" s="668"/>
      <c r="H210" s="668"/>
      <c r="I210" s="668"/>
      <c r="J210" s="668"/>
      <c r="K210" s="668"/>
      <c r="L210" s="668"/>
      <c r="M210" s="668"/>
      <c r="N210" s="668"/>
    </row>
    <row r="211" spans="1:14" hidden="1" x14ac:dyDescent="0.2">
      <c r="A211" s="668"/>
      <c r="B211" s="668"/>
      <c r="C211" s="668"/>
      <c r="D211" s="668"/>
      <c r="E211" s="668"/>
      <c r="F211" s="668"/>
      <c r="G211" s="668"/>
      <c r="H211" s="668"/>
      <c r="I211" s="668"/>
      <c r="J211" s="668"/>
      <c r="K211" s="668"/>
      <c r="L211" s="668"/>
      <c r="M211" s="668"/>
      <c r="N211" s="668"/>
    </row>
    <row r="212" spans="1:14" hidden="1" x14ac:dyDescent="0.2">
      <c r="A212" s="668"/>
      <c r="B212" s="668"/>
      <c r="C212" s="668"/>
      <c r="D212" s="668"/>
      <c r="E212" s="668"/>
      <c r="F212" s="668"/>
      <c r="G212" s="668"/>
      <c r="H212" s="668"/>
      <c r="I212" s="668"/>
      <c r="J212" s="668"/>
      <c r="K212" s="668"/>
      <c r="L212" s="668"/>
      <c r="M212" s="668"/>
      <c r="N212" s="668"/>
    </row>
    <row r="213" spans="1:14" hidden="1" x14ac:dyDescent="0.2">
      <c r="A213" s="668"/>
      <c r="B213" s="668"/>
      <c r="C213" s="668"/>
      <c r="D213" s="668"/>
      <c r="E213" s="668"/>
      <c r="F213" s="668"/>
      <c r="G213" s="668"/>
      <c r="H213" s="668"/>
      <c r="I213" s="668"/>
      <c r="J213" s="668"/>
      <c r="K213" s="668"/>
      <c r="L213" s="668"/>
      <c r="M213" s="668"/>
      <c r="N213" s="668"/>
    </row>
    <row r="214" spans="1:14" hidden="1" x14ac:dyDescent="0.2">
      <c r="A214" s="668"/>
      <c r="B214" s="668"/>
      <c r="C214" s="668"/>
      <c r="D214" s="668"/>
      <c r="E214" s="668"/>
      <c r="F214" s="668"/>
      <c r="G214" s="668"/>
      <c r="H214" s="668"/>
      <c r="I214" s="668"/>
      <c r="J214" s="668"/>
      <c r="K214" s="668"/>
      <c r="L214" s="668"/>
      <c r="M214" s="668"/>
      <c r="N214" s="668"/>
    </row>
    <row r="215" spans="1:14" hidden="1" x14ac:dyDescent="0.2">
      <c r="A215" s="668"/>
      <c r="B215" s="668"/>
      <c r="C215" s="668"/>
      <c r="D215" s="668"/>
      <c r="E215" s="668"/>
      <c r="F215" s="668"/>
      <c r="G215" s="668"/>
      <c r="H215" s="668"/>
      <c r="I215" s="668"/>
      <c r="J215" s="668"/>
      <c r="K215" s="668"/>
      <c r="L215" s="668"/>
      <c r="M215" s="668"/>
      <c r="N215" s="668"/>
    </row>
    <row r="216" spans="1:14" hidden="1" x14ac:dyDescent="0.2">
      <c r="A216" s="668"/>
      <c r="B216" s="668"/>
      <c r="C216" s="668"/>
      <c r="D216" s="668"/>
      <c r="E216" s="668"/>
      <c r="F216" s="668"/>
      <c r="G216" s="668"/>
      <c r="H216" s="668"/>
      <c r="I216" s="668"/>
      <c r="J216" s="668"/>
      <c r="K216" s="668"/>
      <c r="L216" s="668"/>
      <c r="M216" s="668"/>
      <c r="N216" s="668"/>
    </row>
    <row r="217" spans="1:14" hidden="1" x14ac:dyDescent="0.2">
      <c r="A217" s="668"/>
      <c r="B217" s="668"/>
      <c r="C217" s="668"/>
      <c r="D217" s="668"/>
      <c r="E217" s="668"/>
      <c r="F217" s="668"/>
      <c r="G217" s="668"/>
      <c r="H217" s="668"/>
      <c r="I217" s="668"/>
      <c r="J217" s="668"/>
      <c r="K217" s="668"/>
      <c r="L217" s="668"/>
      <c r="M217" s="668"/>
      <c r="N217" s="668"/>
    </row>
    <row r="218" spans="1:14" hidden="1" x14ac:dyDescent="0.2">
      <c r="A218" s="668"/>
      <c r="B218" s="668"/>
      <c r="C218" s="668"/>
      <c r="D218" s="668"/>
      <c r="E218" s="668"/>
      <c r="F218" s="668"/>
      <c r="G218" s="668"/>
      <c r="H218" s="668"/>
      <c r="I218" s="668"/>
      <c r="J218" s="668"/>
      <c r="K218" s="668"/>
      <c r="L218" s="668"/>
      <c r="M218" s="668"/>
      <c r="N218" s="668"/>
    </row>
    <row r="219" spans="1:14" hidden="1" x14ac:dyDescent="0.2">
      <c r="A219" s="668"/>
      <c r="B219" s="668"/>
      <c r="C219" s="668"/>
      <c r="D219" s="668"/>
      <c r="E219" s="668"/>
      <c r="F219" s="668"/>
      <c r="G219" s="668"/>
      <c r="H219" s="668"/>
      <c r="I219" s="668"/>
      <c r="J219" s="668"/>
      <c r="K219" s="668"/>
      <c r="L219" s="668"/>
      <c r="M219" s="668"/>
      <c r="N219" s="668"/>
    </row>
    <row r="220" spans="1:14" hidden="1" x14ac:dyDescent="0.2">
      <c r="A220" s="668"/>
      <c r="B220" s="668"/>
      <c r="C220" s="668"/>
      <c r="D220" s="668"/>
      <c r="E220" s="668"/>
      <c r="F220" s="668"/>
      <c r="G220" s="668"/>
      <c r="H220" s="668"/>
      <c r="I220" s="668"/>
      <c r="J220" s="668"/>
      <c r="K220" s="668"/>
      <c r="L220" s="668"/>
      <c r="M220" s="668"/>
      <c r="N220" s="668"/>
    </row>
    <row r="221" spans="1:14" hidden="1" x14ac:dyDescent="0.2">
      <c r="A221" s="668"/>
      <c r="B221" s="668"/>
      <c r="C221" s="668"/>
      <c r="D221" s="668"/>
      <c r="E221" s="668"/>
      <c r="F221" s="668"/>
      <c r="G221" s="668"/>
      <c r="H221" s="668"/>
      <c r="I221" s="668"/>
      <c r="J221" s="668"/>
      <c r="K221" s="668"/>
      <c r="L221" s="668"/>
      <c r="M221" s="668"/>
      <c r="N221" s="668"/>
    </row>
    <row r="222" spans="1:14" hidden="1" x14ac:dyDescent="0.2">
      <c r="A222" s="668"/>
      <c r="B222" s="668"/>
      <c r="C222" s="668"/>
      <c r="D222" s="668"/>
      <c r="E222" s="668"/>
      <c r="F222" s="668"/>
      <c r="G222" s="668"/>
      <c r="H222" s="668"/>
      <c r="I222" s="668"/>
      <c r="J222" s="668"/>
      <c r="K222" s="668"/>
      <c r="L222" s="668"/>
      <c r="M222" s="668"/>
      <c r="N222" s="668"/>
    </row>
    <row r="223" spans="1:14" hidden="1" x14ac:dyDescent="0.2">
      <c r="A223" s="668"/>
      <c r="B223" s="668"/>
      <c r="C223" s="668"/>
      <c r="D223" s="668"/>
      <c r="E223" s="668"/>
      <c r="F223" s="668"/>
      <c r="G223" s="668"/>
      <c r="H223" s="668"/>
      <c r="I223" s="668"/>
      <c r="J223" s="668"/>
      <c r="K223" s="668"/>
      <c r="L223" s="668"/>
      <c r="M223" s="668"/>
      <c r="N223" s="668"/>
    </row>
    <row r="224" spans="1:14" hidden="1" x14ac:dyDescent="0.2">
      <c r="A224" s="668"/>
      <c r="B224" s="668"/>
      <c r="C224" s="668"/>
      <c r="D224" s="668"/>
      <c r="E224" s="668"/>
      <c r="F224" s="668"/>
      <c r="G224" s="668"/>
      <c r="H224" s="668"/>
      <c r="I224" s="668"/>
      <c r="J224" s="668"/>
      <c r="K224" s="668"/>
      <c r="L224" s="668"/>
      <c r="M224" s="668"/>
      <c r="N224" s="668"/>
    </row>
    <row r="225" spans="1:14" hidden="1" x14ac:dyDescent="0.2">
      <c r="A225" s="668"/>
      <c r="B225" s="668"/>
      <c r="C225" s="668"/>
      <c r="D225" s="668"/>
      <c r="E225" s="668"/>
      <c r="F225" s="668"/>
      <c r="G225" s="668"/>
      <c r="H225" s="668"/>
      <c r="I225" s="668"/>
      <c r="J225" s="668"/>
      <c r="K225" s="668"/>
      <c r="L225" s="668"/>
      <c r="M225" s="668"/>
      <c r="N225" s="668"/>
    </row>
    <row r="226" spans="1:14" hidden="1" x14ac:dyDescent="0.2">
      <c r="A226" s="668"/>
      <c r="B226" s="668"/>
      <c r="C226" s="668"/>
      <c r="D226" s="668"/>
      <c r="E226" s="668"/>
      <c r="F226" s="668"/>
      <c r="G226" s="668"/>
      <c r="H226" s="668"/>
      <c r="I226" s="668"/>
      <c r="J226" s="668"/>
      <c r="K226" s="668"/>
      <c r="L226" s="668"/>
      <c r="M226" s="668"/>
      <c r="N226" s="668"/>
    </row>
    <row r="227" spans="1:14" hidden="1" x14ac:dyDescent="0.2">
      <c r="A227" s="668"/>
      <c r="B227" s="668"/>
      <c r="C227" s="668"/>
      <c r="D227" s="668"/>
      <c r="E227" s="668"/>
      <c r="F227" s="668"/>
      <c r="G227" s="668"/>
      <c r="H227" s="668"/>
      <c r="I227" s="668"/>
      <c r="J227" s="668"/>
      <c r="K227" s="668"/>
      <c r="L227" s="668"/>
      <c r="M227" s="668"/>
      <c r="N227" s="668"/>
    </row>
    <row r="228" spans="1:14" hidden="1" x14ac:dyDescent="0.2">
      <c r="A228" s="668"/>
      <c r="B228" s="668"/>
      <c r="C228" s="668"/>
      <c r="D228" s="668"/>
      <c r="E228" s="668"/>
      <c r="F228" s="668"/>
      <c r="G228" s="668"/>
      <c r="H228" s="668"/>
      <c r="I228" s="668"/>
      <c r="J228" s="668"/>
      <c r="K228" s="668"/>
      <c r="L228" s="668"/>
      <c r="M228" s="668"/>
      <c r="N228" s="668"/>
    </row>
    <row r="229" spans="1:14" hidden="1" x14ac:dyDescent="0.2">
      <c r="A229" s="668"/>
      <c r="B229" s="668"/>
      <c r="C229" s="668"/>
      <c r="D229" s="668"/>
      <c r="E229" s="668"/>
      <c r="F229" s="668"/>
      <c r="G229" s="668"/>
      <c r="H229" s="668"/>
      <c r="I229" s="668"/>
      <c r="J229" s="668"/>
      <c r="K229" s="668"/>
      <c r="L229" s="668"/>
      <c r="M229" s="668"/>
      <c r="N229" s="668"/>
    </row>
    <row r="230" spans="1:14" hidden="1" x14ac:dyDescent="0.2">
      <c r="A230" s="668"/>
      <c r="B230" s="668"/>
      <c r="C230" s="668"/>
      <c r="D230" s="668"/>
      <c r="E230" s="668"/>
      <c r="F230" s="668"/>
      <c r="G230" s="668"/>
      <c r="H230" s="668"/>
      <c r="I230" s="668"/>
      <c r="J230" s="668"/>
      <c r="K230" s="668"/>
      <c r="L230" s="668"/>
      <c r="M230" s="668"/>
      <c r="N230" s="668"/>
    </row>
    <row r="231" spans="1:14" hidden="1" x14ac:dyDescent="0.2">
      <c r="A231" s="668"/>
      <c r="B231" s="668"/>
      <c r="C231" s="668"/>
      <c r="D231" s="668"/>
      <c r="E231" s="668"/>
      <c r="F231" s="668"/>
      <c r="G231" s="668"/>
      <c r="H231" s="668"/>
      <c r="I231" s="668"/>
      <c r="J231" s="668"/>
      <c r="K231" s="668"/>
      <c r="L231" s="668"/>
      <c r="M231" s="668"/>
      <c r="N231" s="668"/>
    </row>
    <row r="232" spans="1:14" hidden="1" x14ac:dyDescent="0.2">
      <c r="A232" s="668"/>
      <c r="B232" s="668"/>
      <c r="C232" s="668"/>
      <c r="D232" s="668"/>
      <c r="E232" s="668"/>
      <c r="F232" s="668"/>
      <c r="G232" s="668"/>
      <c r="H232" s="668"/>
      <c r="I232" s="668"/>
      <c r="J232" s="668"/>
      <c r="K232" s="668"/>
      <c r="L232" s="668"/>
      <c r="M232" s="668"/>
      <c r="N232" s="668"/>
    </row>
    <row r="233" spans="1:14" hidden="1" x14ac:dyDescent="0.2">
      <c r="A233" s="668"/>
      <c r="B233" s="668"/>
      <c r="C233" s="668"/>
      <c r="D233" s="668"/>
      <c r="E233" s="668"/>
      <c r="F233" s="668"/>
      <c r="G233" s="668"/>
      <c r="H233" s="668"/>
      <c r="I233" s="668"/>
      <c r="J233" s="668"/>
      <c r="K233" s="668"/>
      <c r="L233" s="668"/>
      <c r="M233" s="668"/>
      <c r="N233" s="668"/>
    </row>
    <row r="234" spans="1:14" hidden="1" x14ac:dyDescent="0.2">
      <c r="A234" s="668"/>
      <c r="B234" s="668"/>
      <c r="C234" s="668"/>
      <c r="D234" s="668"/>
      <c r="E234" s="668"/>
      <c r="F234" s="668"/>
      <c r="G234" s="668"/>
      <c r="H234" s="668"/>
      <c r="I234" s="668"/>
      <c r="J234" s="668"/>
      <c r="K234" s="668"/>
      <c r="L234" s="668"/>
      <c r="M234" s="668"/>
      <c r="N234" s="668"/>
    </row>
    <row r="235" spans="1:14" hidden="1" x14ac:dyDescent="0.2">
      <c r="A235" s="668"/>
      <c r="B235" s="668"/>
      <c r="C235" s="668"/>
      <c r="D235" s="668"/>
      <c r="E235" s="668"/>
      <c r="F235" s="668"/>
      <c r="G235" s="668"/>
      <c r="H235" s="668"/>
      <c r="I235" s="668"/>
      <c r="J235" s="668"/>
      <c r="K235" s="668"/>
      <c r="L235" s="668"/>
      <c r="M235" s="668"/>
      <c r="N235" s="668"/>
    </row>
    <row r="236" spans="1:14" hidden="1" x14ac:dyDescent="0.2">
      <c r="A236" s="668"/>
      <c r="B236" s="668"/>
      <c r="C236" s="668"/>
      <c r="D236" s="668"/>
      <c r="E236" s="668"/>
      <c r="F236" s="668"/>
      <c r="G236" s="668"/>
      <c r="H236" s="668"/>
      <c r="I236" s="668"/>
      <c r="J236" s="668"/>
      <c r="K236" s="668"/>
      <c r="L236" s="668"/>
      <c r="M236" s="668"/>
      <c r="N236" s="668"/>
    </row>
    <row r="237" spans="1:14" hidden="1" x14ac:dyDescent="0.2">
      <c r="A237" s="668"/>
      <c r="B237" s="668"/>
      <c r="C237" s="668"/>
      <c r="D237" s="668"/>
      <c r="E237" s="668"/>
      <c r="F237" s="668"/>
      <c r="G237" s="668"/>
      <c r="H237" s="668"/>
      <c r="I237" s="668"/>
      <c r="J237" s="668"/>
      <c r="K237" s="668"/>
      <c r="L237" s="668"/>
      <c r="M237" s="668"/>
      <c r="N237" s="668"/>
    </row>
    <row r="238" spans="1:14" hidden="1" x14ac:dyDescent="0.2">
      <c r="A238" s="668"/>
      <c r="B238" s="668"/>
      <c r="C238" s="668"/>
      <c r="D238" s="668"/>
      <c r="E238" s="668"/>
      <c r="F238" s="668"/>
      <c r="G238" s="668"/>
      <c r="H238" s="668"/>
      <c r="I238" s="668"/>
      <c r="J238" s="668"/>
      <c r="K238" s="668"/>
      <c r="L238" s="668"/>
      <c r="M238" s="668"/>
      <c r="N238" s="668"/>
    </row>
    <row r="239" spans="1:14" hidden="1" x14ac:dyDescent="0.2">
      <c r="A239" s="668"/>
      <c r="B239" s="668"/>
      <c r="C239" s="668"/>
      <c r="D239" s="668"/>
      <c r="E239" s="668"/>
      <c r="F239" s="668"/>
      <c r="G239" s="668"/>
      <c r="H239" s="668"/>
      <c r="I239" s="668"/>
      <c r="J239" s="668"/>
      <c r="K239" s="668"/>
      <c r="L239" s="668"/>
      <c r="M239" s="668"/>
      <c r="N239" s="668"/>
    </row>
    <row r="240" spans="1:14" hidden="1" x14ac:dyDescent="0.2">
      <c r="A240" s="668"/>
      <c r="B240" s="668"/>
      <c r="C240" s="668"/>
      <c r="D240" s="668"/>
      <c r="E240" s="668"/>
      <c r="F240" s="668"/>
      <c r="G240" s="668"/>
      <c r="H240" s="668"/>
      <c r="I240" s="668"/>
      <c r="J240" s="668"/>
      <c r="K240" s="668"/>
      <c r="L240" s="668"/>
      <c r="M240" s="668"/>
      <c r="N240" s="668"/>
    </row>
    <row r="241" spans="1:14" hidden="1" x14ac:dyDescent="0.2">
      <c r="A241" s="668"/>
      <c r="B241" s="668"/>
      <c r="C241" s="668"/>
      <c r="D241" s="668"/>
      <c r="E241" s="668"/>
      <c r="F241" s="668"/>
      <c r="G241" s="668"/>
      <c r="H241" s="668"/>
      <c r="I241" s="668"/>
      <c r="J241" s="668"/>
      <c r="K241" s="668"/>
      <c r="L241" s="668"/>
      <c r="M241" s="668"/>
      <c r="N241" s="668"/>
    </row>
    <row r="242" spans="1:14" hidden="1" x14ac:dyDescent="0.2">
      <c r="A242" s="668"/>
      <c r="B242" s="668"/>
      <c r="C242" s="668"/>
      <c r="D242" s="668"/>
      <c r="E242" s="668"/>
      <c r="F242" s="668"/>
      <c r="G242" s="668"/>
      <c r="H242" s="668"/>
      <c r="I242" s="668"/>
      <c r="J242" s="668"/>
      <c r="K242" s="668"/>
      <c r="L242" s="668"/>
      <c r="M242" s="668"/>
      <c r="N242" s="668"/>
    </row>
    <row r="243" spans="1:14" hidden="1" x14ac:dyDescent="0.2">
      <c r="A243" s="668"/>
      <c r="B243" s="668"/>
      <c r="C243" s="668"/>
      <c r="D243" s="668"/>
      <c r="E243" s="668"/>
      <c r="F243" s="668"/>
      <c r="G243" s="668"/>
      <c r="H243" s="668"/>
      <c r="I243" s="668"/>
      <c r="J243" s="668"/>
      <c r="K243" s="668"/>
      <c r="L243" s="668"/>
      <c r="M243" s="668"/>
      <c r="N243" s="668"/>
    </row>
    <row r="244" spans="1:14" hidden="1" x14ac:dyDescent="0.2">
      <c r="A244" s="668"/>
      <c r="B244" s="668"/>
      <c r="C244" s="668"/>
      <c r="D244" s="668"/>
      <c r="E244" s="668"/>
      <c r="F244" s="668"/>
      <c r="G244" s="668"/>
      <c r="H244" s="668"/>
      <c r="I244" s="668"/>
      <c r="J244" s="668"/>
      <c r="K244" s="668"/>
      <c r="L244" s="668"/>
      <c r="M244" s="668"/>
      <c r="N244" s="668"/>
    </row>
    <row r="245" spans="1:14" hidden="1" x14ac:dyDescent="0.2">
      <c r="A245" s="668"/>
      <c r="B245" s="668"/>
      <c r="C245" s="668"/>
      <c r="D245" s="668"/>
      <c r="E245" s="668"/>
      <c r="F245" s="668"/>
      <c r="G245" s="668"/>
      <c r="H245" s="668"/>
      <c r="I245" s="668"/>
      <c r="J245" s="668"/>
      <c r="K245" s="668"/>
      <c r="L245" s="668"/>
      <c r="M245" s="668"/>
      <c r="N245" s="668"/>
    </row>
    <row r="246" spans="1:14" hidden="1" x14ac:dyDescent="0.2">
      <c r="A246" s="668"/>
      <c r="B246" s="668"/>
      <c r="C246" s="668"/>
      <c r="D246" s="668"/>
      <c r="E246" s="668"/>
      <c r="F246" s="668"/>
      <c r="G246" s="668"/>
      <c r="H246" s="668"/>
      <c r="I246" s="668"/>
      <c r="J246" s="668"/>
      <c r="K246" s="668"/>
      <c r="L246" s="668"/>
      <c r="M246" s="668"/>
      <c r="N246" s="668"/>
    </row>
    <row r="247" spans="1:14" hidden="1" x14ac:dyDescent="0.2">
      <c r="A247" s="668"/>
      <c r="B247" s="668"/>
      <c r="C247" s="668"/>
      <c r="D247" s="668"/>
      <c r="E247" s="668"/>
      <c r="F247" s="668"/>
      <c r="G247" s="668"/>
      <c r="H247" s="668"/>
      <c r="I247" s="668"/>
      <c r="J247" s="668"/>
      <c r="K247" s="668"/>
      <c r="L247" s="668"/>
      <c r="M247" s="668"/>
      <c r="N247" s="668"/>
    </row>
    <row r="248" spans="1:14" hidden="1" x14ac:dyDescent="0.2">
      <c r="A248" s="668"/>
      <c r="B248" s="668"/>
      <c r="C248" s="668"/>
      <c r="D248" s="668"/>
      <c r="E248" s="668"/>
      <c r="F248" s="668"/>
      <c r="G248" s="668"/>
      <c r="H248" s="668"/>
      <c r="I248" s="668"/>
      <c r="J248" s="668"/>
      <c r="K248" s="668"/>
      <c r="L248" s="668"/>
      <c r="M248" s="668"/>
      <c r="N248" s="668"/>
    </row>
    <row r="249" spans="1:14" hidden="1" x14ac:dyDescent="0.2">
      <c r="A249" s="668"/>
      <c r="B249" s="668"/>
      <c r="C249" s="668"/>
      <c r="D249" s="668"/>
      <c r="E249" s="668"/>
      <c r="F249" s="668"/>
      <c r="G249" s="668"/>
      <c r="H249" s="668"/>
      <c r="I249" s="668"/>
      <c r="J249" s="668"/>
      <c r="K249" s="668"/>
      <c r="L249" s="668"/>
      <c r="M249" s="668"/>
      <c r="N249" s="668"/>
    </row>
    <row r="250" spans="1:14" hidden="1" x14ac:dyDescent="0.2">
      <c r="A250" s="668"/>
      <c r="B250" s="668"/>
      <c r="C250" s="668"/>
      <c r="D250" s="668"/>
      <c r="E250" s="668"/>
      <c r="F250" s="668"/>
      <c r="G250" s="668"/>
      <c r="H250" s="668"/>
      <c r="I250" s="668"/>
      <c r="J250" s="668"/>
      <c r="K250" s="668"/>
      <c r="L250" s="668"/>
      <c r="M250" s="668"/>
      <c r="N250" s="668"/>
    </row>
    <row r="251" spans="1:14" hidden="1" x14ac:dyDescent="0.2">
      <c r="A251" s="668"/>
      <c r="B251" s="668"/>
      <c r="C251" s="668"/>
      <c r="D251" s="668"/>
      <c r="E251" s="668"/>
      <c r="F251" s="668"/>
      <c r="G251" s="668"/>
      <c r="H251" s="668"/>
      <c r="I251" s="668"/>
      <c r="J251" s="668"/>
      <c r="K251" s="668"/>
      <c r="L251" s="668"/>
      <c r="M251" s="668"/>
      <c r="N251" s="668"/>
    </row>
    <row r="252" spans="1:14" hidden="1" x14ac:dyDescent="0.2">
      <c r="A252" s="668"/>
      <c r="B252" s="668"/>
      <c r="C252" s="668"/>
      <c r="D252" s="668"/>
      <c r="E252" s="668"/>
      <c r="F252" s="668"/>
      <c r="G252" s="668"/>
      <c r="H252" s="668"/>
      <c r="I252" s="668"/>
      <c r="J252" s="668"/>
      <c r="K252" s="668"/>
      <c r="L252" s="668"/>
      <c r="M252" s="668"/>
      <c r="N252" s="668"/>
    </row>
    <row r="253" spans="1:14" hidden="1" x14ac:dyDescent="0.2">
      <c r="A253" s="668"/>
      <c r="B253" s="668"/>
      <c r="C253" s="668"/>
      <c r="D253" s="668"/>
      <c r="E253" s="668"/>
      <c r="F253" s="668"/>
      <c r="G253" s="668"/>
      <c r="H253" s="668"/>
      <c r="I253" s="668"/>
      <c r="J253" s="668"/>
      <c r="K253" s="668"/>
      <c r="L253" s="668"/>
      <c r="M253" s="668"/>
      <c r="N253" s="668"/>
    </row>
    <row r="254" spans="1:14" hidden="1" x14ac:dyDescent="0.2">
      <c r="A254" s="668"/>
      <c r="B254" s="668"/>
      <c r="C254" s="668"/>
      <c r="D254" s="668"/>
      <c r="E254" s="668"/>
      <c r="F254" s="668"/>
      <c r="G254" s="668"/>
      <c r="H254" s="668"/>
      <c r="I254" s="668"/>
      <c r="J254" s="668"/>
      <c r="K254" s="668"/>
      <c r="L254" s="668"/>
      <c r="M254" s="668"/>
      <c r="N254" s="668"/>
    </row>
    <row r="255" spans="1:14" hidden="1" x14ac:dyDescent="0.2">
      <c r="A255" s="668"/>
      <c r="B255" s="668"/>
      <c r="C255" s="668"/>
      <c r="D255" s="668"/>
      <c r="E255" s="668"/>
      <c r="F255" s="668"/>
      <c r="G255" s="668"/>
      <c r="H255" s="668"/>
      <c r="I255" s="668"/>
      <c r="J255" s="668"/>
      <c r="K255" s="668"/>
      <c r="L255" s="668"/>
      <c r="M255" s="668"/>
      <c r="N255" s="668"/>
    </row>
    <row r="256" spans="1:14" hidden="1" x14ac:dyDescent="0.2">
      <c r="A256" s="668"/>
      <c r="B256" s="668"/>
      <c r="C256" s="668"/>
      <c r="D256" s="668"/>
      <c r="E256" s="668"/>
      <c r="F256" s="668"/>
      <c r="G256" s="668"/>
      <c r="H256" s="668"/>
      <c r="I256" s="668"/>
      <c r="J256" s="668"/>
      <c r="K256" s="668"/>
      <c r="L256" s="668"/>
      <c r="M256" s="668"/>
      <c r="N256" s="668"/>
    </row>
    <row r="257" spans="1:14" hidden="1" x14ac:dyDescent="0.2">
      <c r="A257" s="668"/>
      <c r="B257" s="668"/>
      <c r="C257" s="668"/>
      <c r="D257" s="668"/>
      <c r="E257" s="668"/>
      <c r="F257" s="668"/>
      <c r="G257" s="668"/>
      <c r="H257" s="668"/>
      <c r="I257" s="668"/>
      <c r="J257" s="668"/>
      <c r="K257" s="668"/>
      <c r="L257" s="668"/>
      <c r="M257" s="668"/>
      <c r="N257" s="668"/>
    </row>
    <row r="258" spans="1:14" hidden="1" x14ac:dyDescent="0.2">
      <c r="A258" s="668"/>
      <c r="B258" s="668"/>
      <c r="C258" s="668"/>
      <c r="D258" s="668"/>
      <c r="E258" s="668"/>
      <c r="F258" s="668"/>
      <c r="G258" s="668"/>
      <c r="H258" s="668"/>
      <c r="I258" s="668"/>
      <c r="J258" s="668"/>
      <c r="K258" s="668"/>
      <c r="L258" s="668"/>
      <c r="M258" s="668"/>
      <c r="N258" s="668"/>
    </row>
    <row r="259" spans="1:14" hidden="1" x14ac:dyDescent="0.2">
      <c r="A259" s="668"/>
      <c r="B259" s="668"/>
      <c r="C259" s="668"/>
      <c r="D259" s="668"/>
      <c r="E259" s="668"/>
      <c r="F259" s="668"/>
      <c r="G259" s="668"/>
      <c r="H259" s="668"/>
      <c r="I259" s="668"/>
      <c r="J259" s="668"/>
      <c r="K259" s="668"/>
      <c r="L259" s="668"/>
      <c r="M259" s="668"/>
      <c r="N259" s="668"/>
    </row>
    <row r="260" spans="1:14" hidden="1" x14ac:dyDescent="0.2">
      <c r="A260" s="668"/>
      <c r="B260" s="668"/>
      <c r="C260" s="668"/>
      <c r="D260" s="668"/>
      <c r="E260" s="668"/>
      <c r="F260" s="668"/>
      <c r="G260" s="668"/>
      <c r="H260" s="668"/>
      <c r="I260" s="668"/>
      <c r="J260" s="668"/>
      <c r="K260" s="668"/>
      <c r="L260" s="668"/>
      <c r="M260" s="668"/>
      <c r="N260" s="668"/>
    </row>
    <row r="261" spans="1:14" hidden="1" x14ac:dyDescent="0.2">
      <c r="A261" s="668"/>
      <c r="B261" s="668"/>
      <c r="C261" s="668"/>
      <c r="D261" s="668"/>
      <c r="E261" s="668"/>
      <c r="F261" s="668"/>
      <c r="G261" s="668"/>
      <c r="H261" s="668"/>
      <c r="I261" s="668"/>
      <c r="J261" s="668"/>
      <c r="K261" s="668"/>
      <c r="L261" s="668"/>
      <c r="M261" s="668"/>
      <c r="N261" s="668"/>
    </row>
    <row r="262" spans="1:14" hidden="1" x14ac:dyDescent="0.2">
      <c r="A262" s="668"/>
      <c r="B262" s="668"/>
      <c r="C262" s="668"/>
      <c r="D262" s="668"/>
      <c r="E262" s="668"/>
      <c r="F262" s="668"/>
      <c r="G262" s="668"/>
      <c r="H262" s="668"/>
      <c r="I262" s="668"/>
      <c r="J262" s="668"/>
      <c r="K262" s="668"/>
      <c r="L262" s="668"/>
      <c r="M262" s="668"/>
      <c r="N262" s="668"/>
    </row>
    <row r="263" spans="1:14" hidden="1" x14ac:dyDescent="0.2">
      <c r="A263" s="668"/>
      <c r="B263" s="668"/>
      <c r="C263" s="668"/>
      <c r="D263" s="668"/>
      <c r="E263" s="668"/>
      <c r="F263" s="668"/>
      <c r="G263" s="668"/>
      <c r="H263" s="668"/>
      <c r="I263" s="668"/>
      <c r="J263" s="668"/>
      <c r="K263" s="668"/>
      <c r="L263" s="668"/>
      <c r="M263" s="668"/>
      <c r="N263" s="668"/>
    </row>
    <row r="264" spans="1:14" hidden="1" x14ac:dyDescent="0.2">
      <c r="A264" s="668"/>
      <c r="B264" s="668"/>
      <c r="C264" s="668"/>
      <c r="D264" s="668"/>
      <c r="E264" s="668"/>
      <c r="F264" s="668"/>
      <c r="G264" s="668"/>
      <c r="H264" s="668"/>
      <c r="I264" s="668"/>
      <c r="J264" s="668"/>
      <c r="K264" s="668"/>
      <c r="L264" s="668"/>
      <c r="M264" s="668"/>
      <c r="N264" s="668"/>
    </row>
    <row r="265" spans="1:14" hidden="1" x14ac:dyDescent="0.2">
      <c r="A265" s="668"/>
      <c r="B265" s="668"/>
      <c r="C265" s="668"/>
      <c r="D265" s="668"/>
      <c r="E265" s="668"/>
      <c r="F265" s="668"/>
      <c r="G265" s="668"/>
      <c r="H265" s="668"/>
      <c r="I265" s="668"/>
      <c r="J265" s="668"/>
      <c r="K265" s="668"/>
      <c r="L265" s="668"/>
      <c r="M265" s="668"/>
      <c r="N265" s="668"/>
    </row>
    <row r="266" spans="1:14" hidden="1" x14ac:dyDescent="0.2">
      <c r="A266" s="668"/>
      <c r="B266" s="668"/>
      <c r="C266" s="668"/>
      <c r="D266" s="668"/>
      <c r="E266" s="668"/>
      <c r="F266" s="668"/>
      <c r="G266" s="668"/>
      <c r="H266" s="668"/>
      <c r="I266" s="668"/>
      <c r="J266" s="668"/>
      <c r="K266" s="668"/>
      <c r="L266" s="668"/>
      <c r="M266" s="668"/>
      <c r="N266" s="668"/>
    </row>
    <row r="267" spans="1:14" hidden="1" x14ac:dyDescent="0.2">
      <c r="A267" s="668"/>
      <c r="B267" s="668"/>
      <c r="C267" s="668"/>
      <c r="D267" s="668"/>
      <c r="E267" s="668"/>
      <c r="F267" s="668"/>
      <c r="G267" s="668"/>
      <c r="H267" s="668"/>
      <c r="I267" s="668"/>
      <c r="J267" s="668"/>
      <c r="K267" s="668"/>
      <c r="L267" s="668"/>
      <c r="M267" s="668"/>
      <c r="N267" s="668"/>
    </row>
    <row r="268" spans="1:14" hidden="1" x14ac:dyDescent="0.2">
      <c r="A268" s="668"/>
      <c r="B268" s="668"/>
      <c r="C268" s="668"/>
      <c r="D268" s="668"/>
      <c r="E268" s="668"/>
      <c r="F268" s="668"/>
      <c r="G268" s="668"/>
      <c r="H268" s="668"/>
      <c r="I268" s="668"/>
      <c r="J268" s="668"/>
      <c r="K268" s="668"/>
      <c r="L268" s="668"/>
      <c r="M268" s="668"/>
      <c r="N268" s="668"/>
    </row>
    <row r="269" spans="1:14" hidden="1" x14ac:dyDescent="0.2">
      <c r="A269" s="668"/>
      <c r="B269" s="668"/>
      <c r="C269" s="668"/>
      <c r="D269" s="668"/>
      <c r="E269" s="668"/>
      <c r="F269" s="668"/>
      <c r="G269" s="668"/>
      <c r="H269" s="668"/>
      <c r="I269" s="668"/>
      <c r="J269" s="668"/>
      <c r="K269" s="668"/>
      <c r="L269" s="668"/>
      <c r="M269" s="668"/>
      <c r="N269" s="668"/>
    </row>
    <row r="270" spans="1:14" hidden="1" x14ac:dyDescent="0.2">
      <c r="A270" s="668"/>
      <c r="B270" s="668"/>
      <c r="C270" s="668"/>
      <c r="D270" s="668"/>
      <c r="E270" s="668"/>
      <c r="F270" s="668"/>
      <c r="G270" s="668"/>
      <c r="H270" s="668"/>
      <c r="I270" s="668"/>
      <c r="J270" s="668"/>
      <c r="K270" s="668"/>
      <c r="L270" s="668"/>
      <c r="M270" s="668"/>
      <c r="N270" s="668"/>
    </row>
    <row r="271" spans="1:14" hidden="1" x14ac:dyDescent="0.2">
      <c r="A271" s="668"/>
      <c r="B271" s="668"/>
      <c r="C271" s="668"/>
      <c r="D271" s="668"/>
      <c r="E271" s="668"/>
      <c r="F271" s="668"/>
      <c r="G271" s="668"/>
      <c r="H271" s="668"/>
      <c r="I271" s="668"/>
      <c r="J271" s="668"/>
      <c r="K271" s="668"/>
      <c r="L271" s="668"/>
      <c r="M271" s="668"/>
      <c r="N271" s="668"/>
    </row>
    <row r="272" spans="1:14" hidden="1" x14ac:dyDescent="0.2">
      <c r="A272" s="668"/>
      <c r="B272" s="668"/>
      <c r="C272" s="668"/>
      <c r="D272" s="668"/>
      <c r="E272" s="668"/>
      <c r="F272" s="668"/>
      <c r="G272" s="668"/>
      <c r="H272" s="668"/>
      <c r="I272" s="668"/>
      <c r="J272" s="668"/>
      <c r="K272" s="668"/>
      <c r="L272" s="668"/>
      <c r="M272" s="668"/>
      <c r="N272" s="668"/>
    </row>
    <row r="273" spans="1:14" hidden="1" x14ac:dyDescent="0.2">
      <c r="A273" s="668"/>
      <c r="B273" s="668"/>
      <c r="C273" s="668"/>
      <c r="D273" s="668"/>
      <c r="E273" s="668"/>
      <c r="F273" s="668"/>
      <c r="G273" s="668"/>
      <c r="H273" s="668"/>
      <c r="I273" s="668"/>
      <c r="J273" s="668"/>
      <c r="K273" s="668"/>
      <c r="L273" s="668"/>
      <c r="M273" s="668"/>
      <c r="N273" s="668"/>
    </row>
    <row r="274" spans="1:14" hidden="1" x14ac:dyDescent="0.2">
      <c r="A274" s="668"/>
      <c r="B274" s="668"/>
      <c r="C274" s="668"/>
      <c r="D274" s="668"/>
      <c r="E274" s="668"/>
      <c r="F274" s="668"/>
      <c r="G274" s="668"/>
      <c r="H274" s="668"/>
      <c r="I274" s="668"/>
      <c r="J274" s="668"/>
      <c r="K274" s="668"/>
      <c r="L274" s="668"/>
      <c r="M274" s="668"/>
      <c r="N274" s="668"/>
    </row>
    <row r="275" spans="1:14" hidden="1" x14ac:dyDescent="0.2">
      <c r="A275" s="668"/>
      <c r="B275" s="668"/>
      <c r="C275" s="668"/>
      <c r="D275" s="668"/>
      <c r="E275" s="668"/>
      <c r="F275" s="668"/>
      <c r="G275" s="668"/>
      <c r="H275" s="668"/>
      <c r="I275" s="668"/>
      <c r="J275" s="668"/>
      <c r="K275" s="668"/>
      <c r="L275" s="668"/>
      <c r="M275" s="668"/>
      <c r="N275" s="668"/>
    </row>
    <row r="276" spans="1:14" hidden="1" x14ac:dyDescent="0.2">
      <c r="A276" s="668"/>
      <c r="B276" s="668"/>
      <c r="C276" s="668"/>
      <c r="D276" s="668"/>
      <c r="E276" s="668"/>
      <c r="F276" s="668"/>
      <c r="G276" s="668"/>
      <c r="H276" s="668"/>
      <c r="I276" s="668"/>
      <c r="J276" s="668"/>
      <c r="K276" s="668"/>
      <c r="L276" s="668"/>
      <c r="M276" s="668"/>
      <c r="N276" s="668"/>
    </row>
    <row r="277" spans="1:14" hidden="1" x14ac:dyDescent="0.2">
      <c r="A277" s="668"/>
      <c r="B277" s="668"/>
      <c r="C277" s="668"/>
      <c r="D277" s="668"/>
      <c r="E277" s="668"/>
      <c r="F277" s="668"/>
      <c r="G277" s="668"/>
      <c r="H277" s="668"/>
      <c r="I277" s="668"/>
      <c r="J277" s="668"/>
      <c r="K277" s="668"/>
      <c r="L277" s="668"/>
      <c r="M277" s="668"/>
      <c r="N277" s="668"/>
    </row>
    <row r="278" spans="1:14" hidden="1" x14ac:dyDescent="0.2">
      <c r="A278" s="668"/>
      <c r="B278" s="668"/>
      <c r="C278" s="668"/>
      <c r="D278" s="668"/>
      <c r="E278" s="668"/>
      <c r="F278" s="668"/>
      <c r="G278" s="668"/>
      <c r="H278" s="668"/>
      <c r="I278" s="668"/>
      <c r="J278" s="668"/>
      <c r="K278" s="668"/>
      <c r="L278" s="668"/>
      <c r="M278" s="668"/>
      <c r="N278" s="668"/>
    </row>
    <row r="279" spans="1:14" hidden="1" x14ac:dyDescent="0.2">
      <c r="A279" s="668"/>
      <c r="B279" s="668"/>
      <c r="C279" s="668"/>
      <c r="D279" s="668"/>
      <c r="E279" s="668"/>
      <c r="F279" s="668"/>
      <c r="G279" s="668"/>
      <c r="H279" s="668"/>
      <c r="I279" s="668"/>
      <c r="J279" s="668"/>
      <c r="K279" s="668"/>
      <c r="L279" s="668"/>
      <c r="M279" s="668"/>
      <c r="N279" s="668"/>
    </row>
    <row r="280" spans="1:14" hidden="1" x14ac:dyDescent="0.2">
      <c r="A280" s="668"/>
      <c r="B280" s="668"/>
      <c r="C280" s="668"/>
      <c r="D280" s="668"/>
      <c r="E280" s="668"/>
      <c r="F280" s="668"/>
      <c r="G280" s="668"/>
      <c r="H280" s="668"/>
      <c r="I280" s="668"/>
      <c r="J280" s="668"/>
      <c r="K280" s="668"/>
      <c r="L280" s="668"/>
      <c r="M280" s="668"/>
      <c r="N280" s="668"/>
    </row>
    <row r="281" spans="1:14" hidden="1" x14ac:dyDescent="0.2">
      <c r="A281" s="668"/>
      <c r="B281" s="668"/>
      <c r="C281" s="668"/>
      <c r="D281" s="668"/>
      <c r="E281" s="668"/>
      <c r="F281" s="668"/>
      <c r="G281" s="668"/>
      <c r="H281" s="668"/>
      <c r="I281" s="668"/>
      <c r="J281" s="668"/>
      <c r="K281" s="668"/>
      <c r="L281" s="668"/>
      <c r="M281" s="668"/>
      <c r="N281" s="668"/>
    </row>
    <row r="282" spans="1:14" hidden="1" x14ac:dyDescent="0.2">
      <c r="A282" s="668"/>
      <c r="B282" s="668"/>
      <c r="C282" s="668"/>
      <c r="D282" s="668"/>
      <c r="E282" s="668"/>
      <c r="F282" s="668"/>
      <c r="G282" s="668"/>
      <c r="H282" s="668"/>
      <c r="I282" s="668"/>
      <c r="J282" s="668"/>
      <c r="K282" s="668"/>
      <c r="L282" s="668"/>
      <c r="M282" s="668"/>
      <c r="N282" s="668"/>
    </row>
    <row r="283" spans="1:14" hidden="1" x14ac:dyDescent="0.2">
      <c r="A283" s="668"/>
      <c r="B283" s="668"/>
      <c r="C283" s="668"/>
      <c r="D283" s="668"/>
      <c r="E283" s="668"/>
      <c r="F283" s="668"/>
      <c r="G283" s="668"/>
      <c r="H283" s="668"/>
      <c r="I283" s="668"/>
      <c r="J283" s="668"/>
      <c r="K283" s="668"/>
      <c r="L283" s="668"/>
      <c r="M283" s="668"/>
      <c r="N283" s="668"/>
    </row>
    <row r="284" spans="1:14" hidden="1" x14ac:dyDescent="0.2">
      <c r="A284" s="668"/>
      <c r="B284" s="668"/>
      <c r="C284" s="668"/>
      <c r="D284" s="668"/>
      <c r="E284" s="668"/>
      <c r="F284" s="668"/>
      <c r="G284" s="668"/>
      <c r="H284" s="668"/>
      <c r="I284" s="668"/>
      <c r="J284" s="668"/>
      <c r="K284" s="668"/>
      <c r="L284" s="668"/>
      <c r="M284" s="668"/>
      <c r="N284" s="668"/>
    </row>
    <row r="285" spans="1:14" hidden="1" x14ac:dyDescent="0.2">
      <c r="A285" s="668"/>
      <c r="B285" s="668"/>
      <c r="C285" s="668"/>
      <c r="D285" s="668"/>
      <c r="E285" s="668"/>
      <c r="F285" s="668"/>
      <c r="G285" s="668"/>
      <c r="H285" s="668"/>
      <c r="I285" s="668"/>
      <c r="J285" s="668"/>
      <c r="K285" s="668"/>
      <c r="L285" s="668"/>
      <c r="M285" s="668"/>
      <c r="N285" s="668"/>
    </row>
    <row r="286" spans="1:14" hidden="1" x14ac:dyDescent="0.2">
      <c r="A286" s="668"/>
      <c r="B286" s="668"/>
      <c r="C286" s="668"/>
      <c r="D286" s="668"/>
      <c r="E286" s="668"/>
      <c r="F286" s="668"/>
      <c r="G286" s="668"/>
      <c r="H286" s="668"/>
      <c r="I286" s="668"/>
      <c r="J286" s="668"/>
      <c r="K286" s="668"/>
      <c r="L286" s="668"/>
      <c r="M286" s="668"/>
      <c r="N286" s="668"/>
    </row>
    <row r="287" spans="1:14" hidden="1" x14ac:dyDescent="0.2">
      <c r="A287" s="668"/>
      <c r="B287" s="668"/>
      <c r="C287" s="668"/>
      <c r="D287" s="668"/>
      <c r="E287" s="668"/>
      <c r="F287" s="668"/>
      <c r="G287" s="668"/>
      <c r="H287" s="668"/>
      <c r="I287" s="668"/>
      <c r="J287" s="668"/>
      <c r="K287" s="668"/>
      <c r="L287" s="668"/>
      <c r="M287" s="668"/>
      <c r="N287" s="668"/>
    </row>
    <row r="288" spans="1:14" hidden="1" x14ac:dyDescent="0.2">
      <c r="A288" s="668"/>
      <c r="B288" s="668"/>
      <c r="C288" s="668"/>
      <c r="D288" s="668"/>
      <c r="E288" s="668"/>
      <c r="F288" s="668"/>
      <c r="G288" s="668"/>
      <c r="H288" s="668"/>
      <c r="I288" s="668"/>
      <c r="J288" s="668"/>
      <c r="K288" s="668"/>
      <c r="L288" s="668"/>
      <c r="M288" s="668"/>
      <c r="N288" s="668"/>
    </row>
    <row r="289" spans="1:14" hidden="1" x14ac:dyDescent="0.2">
      <c r="A289" s="668"/>
      <c r="B289" s="668"/>
      <c r="C289" s="668"/>
      <c r="D289" s="668"/>
      <c r="E289" s="668"/>
      <c r="F289" s="668"/>
      <c r="G289" s="668"/>
      <c r="H289" s="668"/>
      <c r="I289" s="668"/>
      <c r="J289" s="668"/>
      <c r="K289" s="668"/>
      <c r="L289" s="668"/>
      <c r="M289" s="668"/>
      <c r="N289" s="668"/>
    </row>
    <row r="290" spans="1:14" hidden="1" x14ac:dyDescent="0.2">
      <c r="A290" s="668"/>
      <c r="B290" s="668"/>
      <c r="C290" s="668"/>
      <c r="D290" s="668"/>
      <c r="E290" s="668"/>
      <c r="F290" s="668"/>
      <c r="G290" s="668"/>
      <c r="H290" s="668"/>
      <c r="I290" s="668"/>
      <c r="J290" s="668"/>
      <c r="K290" s="668"/>
      <c r="L290" s="668"/>
      <c r="M290" s="668"/>
      <c r="N290" s="668"/>
    </row>
    <row r="291" spans="1:14" hidden="1" x14ac:dyDescent="0.2">
      <c r="A291" s="668"/>
      <c r="B291" s="668"/>
      <c r="C291" s="668"/>
      <c r="D291" s="668"/>
      <c r="E291" s="668"/>
      <c r="F291" s="668"/>
      <c r="G291" s="668"/>
      <c r="H291" s="668"/>
      <c r="I291" s="668"/>
      <c r="J291" s="668"/>
      <c r="K291" s="668"/>
      <c r="L291" s="668"/>
      <c r="M291" s="668"/>
      <c r="N291" s="668"/>
    </row>
    <row r="292" spans="1:14" hidden="1" x14ac:dyDescent="0.2">
      <c r="A292" s="668"/>
      <c r="B292" s="668"/>
      <c r="C292" s="668"/>
      <c r="D292" s="668"/>
      <c r="E292" s="668"/>
      <c r="F292" s="668"/>
      <c r="G292" s="668"/>
      <c r="H292" s="668"/>
      <c r="I292" s="668"/>
      <c r="J292" s="668"/>
      <c r="K292" s="668"/>
      <c r="L292" s="668"/>
      <c r="M292" s="668"/>
      <c r="N292" s="668"/>
    </row>
    <row r="293" spans="1:14" hidden="1" x14ac:dyDescent="0.2">
      <c r="A293" s="668"/>
      <c r="B293" s="668"/>
      <c r="C293" s="668"/>
      <c r="D293" s="668"/>
      <c r="E293" s="668"/>
      <c r="F293" s="668"/>
      <c r="G293" s="668"/>
      <c r="H293" s="668"/>
      <c r="I293" s="668"/>
      <c r="J293" s="668"/>
      <c r="K293" s="668"/>
      <c r="L293" s="668"/>
      <c r="M293" s="668"/>
      <c r="N293" s="668"/>
    </row>
    <row r="294" spans="1:14" hidden="1" x14ac:dyDescent="0.2">
      <c r="A294" s="668"/>
      <c r="B294" s="668"/>
      <c r="C294" s="668"/>
      <c r="D294" s="668"/>
      <c r="E294" s="668"/>
      <c r="F294" s="668"/>
      <c r="G294" s="668"/>
      <c r="H294" s="668"/>
      <c r="I294" s="668"/>
      <c r="J294" s="668"/>
      <c r="K294" s="668"/>
      <c r="L294" s="668"/>
      <c r="M294" s="668"/>
      <c r="N294" s="668"/>
    </row>
    <row r="295" spans="1:14" hidden="1" x14ac:dyDescent="0.2">
      <c r="A295" s="668"/>
      <c r="B295" s="668"/>
      <c r="C295" s="668"/>
      <c r="D295" s="668"/>
      <c r="E295" s="668"/>
      <c r="F295" s="668"/>
      <c r="G295" s="668"/>
      <c r="H295" s="668"/>
      <c r="I295" s="668"/>
      <c r="J295" s="668"/>
      <c r="K295" s="668"/>
      <c r="L295" s="668"/>
      <c r="M295" s="668"/>
      <c r="N295" s="668"/>
    </row>
    <row r="296" spans="1:14" hidden="1" x14ac:dyDescent="0.2">
      <c r="A296" s="668"/>
      <c r="B296" s="668"/>
      <c r="C296" s="668"/>
      <c r="D296" s="668"/>
      <c r="E296" s="668"/>
      <c r="F296" s="668"/>
      <c r="G296" s="668"/>
      <c r="H296" s="668"/>
      <c r="I296" s="668"/>
      <c r="J296" s="668"/>
      <c r="K296" s="668"/>
      <c r="L296" s="668"/>
      <c r="M296" s="668"/>
      <c r="N296" s="668"/>
    </row>
    <row r="297" spans="1:14" hidden="1" x14ac:dyDescent="0.2">
      <c r="A297" s="668"/>
      <c r="B297" s="668"/>
      <c r="C297" s="668"/>
      <c r="D297" s="668"/>
      <c r="E297" s="668"/>
      <c r="F297" s="668"/>
      <c r="G297" s="668"/>
      <c r="H297" s="668"/>
      <c r="I297" s="668"/>
      <c r="J297" s="668"/>
      <c r="K297" s="668"/>
      <c r="L297" s="668"/>
      <c r="M297" s="668"/>
      <c r="N297" s="668"/>
    </row>
    <row r="298" spans="1:14" x14ac:dyDescent="0.2">
      <c r="A298" s="32"/>
      <c r="B298" s="32"/>
      <c r="C298" s="32"/>
      <c r="D298" s="32"/>
      <c r="E298" s="32"/>
      <c r="F298" s="32"/>
      <c r="G298" s="32"/>
      <c r="H298" s="32"/>
      <c r="I298" s="32"/>
    </row>
    <row r="299" spans="1:14" x14ac:dyDescent="0.2">
      <c r="A299" s="32"/>
      <c r="B299" s="32"/>
      <c r="C299" s="278" t="s">
        <v>190</v>
      </c>
      <c r="D299" s="32"/>
      <c r="E299" s="32"/>
      <c r="F299" s="32"/>
      <c r="G299" s="32"/>
      <c r="H299" s="32"/>
      <c r="I299" s="32"/>
    </row>
    <row r="300" spans="1:14" x14ac:dyDescent="0.2">
      <c r="A300" s="182">
        <v>1</v>
      </c>
      <c r="B300" s="589" t="str">
        <f>IFERROR(INDEX(H$100:H$300,MATCH(A300&amp;". koht",H$101:H$301,0)),"")</f>
        <v>Oskar Sepp</v>
      </c>
      <c r="C300" s="55">
        <v>40</v>
      </c>
      <c r="F300" s="32"/>
      <c r="G300" s="32"/>
      <c r="I300" s="32"/>
    </row>
    <row r="301" spans="1:14" x14ac:dyDescent="0.2">
      <c r="A301" s="182">
        <v>2</v>
      </c>
      <c r="B301" s="590" t="str">
        <f t="shared" ref="B301:B316" si="18">IFERROR(INDEX(H$100:H$300,MATCH(A301&amp;". koht",H$101:H$301,0)),"")</f>
        <v>Oleg Rõndenkov</v>
      </c>
      <c r="C301" s="55">
        <v>34</v>
      </c>
      <c r="F301" s="32"/>
      <c r="G301" s="32"/>
      <c r="I301" s="32"/>
    </row>
    <row r="302" spans="1:14" x14ac:dyDescent="0.2">
      <c r="A302" s="182">
        <v>3</v>
      </c>
      <c r="B302" s="591" t="str">
        <f t="shared" si="18"/>
        <v>Ivar Viljaste</v>
      </c>
      <c r="C302" s="55">
        <v>30</v>
      </c>
      <c r="F302" s="32"/>
      <c r="G302" s="32"/>
      <c r="I302" s="32"/>
    </row>
    <row r="303" spans="1:14" x14ac:dyDescent="0.2">
      <c r="A303" s="182">
        <v>4</v>
      </c>
      <c r="B303" s="175" t="str">
        <f t="shared" si="18"/>
        <v>Karla Purgats</v>
      </c>
      <c r="C303" s="55">
        <v>26</v>
      </c>
      <c r="F303" s="32"/>
      <c r="G303" s="32"/>
      <c r="I303" s="32"/>
    </row>
    <row r="304" spans="1:14" x14ac:dyDescent="0.2">
      <c r="A304" s="182">
        <v>5</v>
      </c>
      <c r="B304" s="175" t="str">
        <f t="shared" si="18"/>
        <v>Janek Tarto</v>
      </c>
      <c r="C304" s="32">
        <v>24</v>
      </c>
      <c r="F304" s="32"/>
      <c r="G304" s="32"/>
      <c r="I304" s="32"/>
    </row>
    <row r="305" spans="1:9" x14ac:dyDescent="0.2">
      <c r="A305" s="182">
        <v>6</v>
      </c>
      <c r="B305" s="175" t="str">
        <f t="shared" si="18"/>
        <v>Jaan Sepp</v>
      </c>
      <c r="C305" s="32">
        <v>22</v>
      </c>
      <c r="F305" s="32"/>
      <c r="G305" s="32"/>
      <c r="I305" s="32"/>
    </row>
    <row r="306" spans="1:9" x14ac:dyDescent="0.2">
      <c r="A306" s="182">
        <v>7</v>
      </c>
      <c r="B306" s="175" t="str">
        <f t="shared" si="18"/>
        <v>Aarne Välja</v>
      </c>
      <c r="C306" s="32">
        <v>20</v>
      </c>
      <c r="F306" s="32"/>
      <c r="G306" s="32"/>
      <c r="I306" s="32"/>
    </row>
    <row r="307" spans="1:9" x14ac:dyDescent="0.2">
      <c r="A307" s="182">
        <v>8</v>
      </c>
      <c r="B307" s="175" t="str">
        <f t="shared" si="18"/>
        <v>Elmo Lageda</v>
      </c>
      <c r="C307" s="32">
        <v>18</v>
      </c>
      <c r="F307" s="32"/>
      <c r="G307" s="32"/>
      <c r="I307" s="32"/>
    </row>
    <row r="308" spans="1:9" x14ac:dyDescent="0.2">
      <c r="A308" s="182">
        <v>9</v>
      </c>
      <c r="B308" s="175" t="str">
        <f t="shared" si="18"/>
        <v>Matti Vinni</v>
      </c>
      <c r="C308" s="32">
        <v>16</v>
      </c>
      <c r="F308" s="32"/>
      <c r="G308" s="32"/>
      <c r="I308" s="32"/>
    </row>
    <row r="309" spans="1:9" x14ac:dyDescent="0.2">
      <c r="A309" s="182">
        <v>10</v>
      </c>
      <c r="B309" s="175" t="str">
        <f t="shared" si="18"/>
        <v>Oksana Sažina</v>
      </c>
      <c r="C309" s="32">
        <v>14</v>
      </c>
    </row>
    <row r="310" spans="1:9" x14ac:dyDescent="0.2">
      <c r="A310" s="182">
        <v>11</v>
      </c>
      <c r="B310" s="175" t="str">
        <f t="shared" si="18"/>
        <v>Andrei Grintšak</v>
      </c>
      <c r="C310" s="32">
        <v>12</v>
      </c>
    </row>
    <row r="311" spans="1:9" x14ac:dyDescent="0.2">
      <c r="A311" s="182">
        <v>12</v>
      </c>
      <c r="B311" s="175" t="str">
        <f t="shared" si="18"/>
        <v>Tõnu Piik</v>
      </c>
      <c r="C311" s="32">
        <v>10</v>
      </c>
    </row>
    <row r="312" spans="1:9" x14ac:dyDescent="0.2">
      <c r="A312" s="182">
        <v>13</v>
      </c>
      <c r="B312" s="175" t="str">
        <f t="shared" si="18"/>
        <v>Boriss Klubov</v>
      </c>
      <c r="C312" s="32">
        <v>8</v>
      </c>
    </row>
    <row r="313" spans="1:9" x14ac:dyDescent="0.2">
      <c r="A313" s="182">
        <v>14</v>
      </c>
      <c r="B313" s="175" t="str">
        <f t="shared" si="18"/>
        <v>Tarmo Bombe</v>
      </c>
      <c r="C313" s="32">
        <v>6</v>
      </c>
    </row>
    <row r="314" spans="1:9" x14ac:dyDescent="0.2">
      <c r="A314" s="182">
        <v>15</v>
      </c>
      <c r="B314" s="175" t="str">
        <f t="shared" si="18"/>
        <v>Tõnu Kapper</v>
      </c>
      <c r="C314" s="32">
        <v>4</v>
      </c>
    </row>
    <row r="315" spans="1:9" x14ac:dyDescent="0.2">
      <c r="A315" s="182">
        <v>16</v>
      </c>
      <c r="B315" s="175" t="str">
        <f t="shared" si="18"/>
        <v>Jaan Saar</v>
      </c>
      <c r="C315" s="32">
        <v>2</v>
      </c>
    </row>
    <row r="316" spans="1:9" x14ac:dyDescent="0.2">
      <c r="A316" s="182">
        <v>17</v>
      </c>
      <c r="B316" s="175" t="str">
        <f t="shared" si="18"/>
        <v>Kenneth Muusikus</v>
      </c>
      <c r="C316" s="32">
        <v>1</v>
      </c>
    </row>
    <row r="317" spans="1:9" x14ac:dyDescent="0.2">
      <c r="A317" s="182">
        <v>18</v>
      </c>
      <c r="B317" s="175" t="str">
        <f t="shared" ref="B317:B319" si="19">IFERROR(INDEX(H$100:H$300,MATCH(A317&amp;". koht",H$101:H$301,0)),"")</f>
        <v>Lemmit Toomra</v>
      </c>
      <c r="C317" s="32">
        <v>1</v>
      </c>
    </row>
    <row r="318" spans="1:9" x14ac:dyDescent="0.2">
      <c r="A318" s="182">
        <v>19</v>
      </c>
      <c r="B318" s="175" t="str">
        <f t="shared" si="19"/>
        <v>Argo Sepp</v>
      </c>
      <c r="C318" s="32">
        <v>1</v>
      </c>
    </row>
    <row r="319" spans="1:9" x14ac:dyDescent="0.2">
      <c r="A319" s="182">
        <v>20</v>
      </c>
      <c r="B319" s="175" t="str">
        <f t="shared" si="19"/>
        <v>Emil Murzajev</v>
      </c>
      <c r="C319" s="32">
        <v>1</v>
      </c>
    </row>
  </sheetData>
  <conditionalFormatting sqref="B300:B319">
    <cfRule type="containsBlanks" dxfId="1816" priority="333">
      <formula>LEN(TRIM(B300))=0</formula>
    </cfRule>
    <cfRule type="duplicateValues" dxfId="1815" priority="334"/>
  </conditionalFormatting>
  <conditionalFormatting sqref="D7 C8">
    <cfRule type="aboveAverage" dxfId="1814" priority="332"/>
  </conditionalFormatting>
  <conditionalFormatting sqref="E7 C9">
    <cfRule type="aboveAverage" dxfId="1813" priority="331"/>
  </conditionalFormatting>
  <conditionalFormatting sqref="F7 C10">
    <cfRule type="aboveAverage" dxfId="1812" priority="330"/>
  </conditionalFormatting>
  <conditionalFormatting sqref="E8 D9">
    <cfRule type="aboveAverage" dxfId="1811" priority="329"/>
  </conditionalFormatting>
  <conditionalFormatting sqref="G7 C11">
    <cfRule type="aboveAverage" dxfId="1810" priority="328"/>
  </conditionalFormatting>
  <conditionalFormatting sqref="F8 D10">
    <cfRule type="aboveAverage" dxfId="1809" priority="327"/>
  </conditionalFormatting>
  <conditionalFormatting sqref="G8 D11">
    <cfRule type="aboveAverage" dxfId="1808" priority="326"/>
  </conditionalFormatting>
  <conditionalFormatting sqref="F9 E10">
    <cfRule type="aboveAverage" dxfId="1807" priority="325"/>
  </conditionalFormatting>
  <conditionalFormatting sqref="G9 E11">
    <cfRule type="aboveAverage" dxfId="1806" priority="324"/>
  </conditionalFormatting>
  <conditionalFormatting sqref="F11 G10">
    <cfRule type="aboveAverage" dxfId="1805" priority="323"/>
  </conditionalFormatting>
  <conditionalFormatting sqref="K14:K18">
    <cfRule type="expression" dxfId="1804" priority="315">
      <formula>AND(J14=3,IF(COUNTIF(J$14:J$18,"=3")&gt;=2,TRUE))</formula>
    </cfRule>
    <cfRule type="expression" dxfId="1803" priority="321">
      <formula>AND(J14=1,IF(COUNTIF(J$14:J$18,"=1")&gt;=2,TRUE))</formula>
    </cfRule>
    <cfRule type="expression" dxfId="1802" priority="322">
      <formula>AND(J14=2,IF(COUNTIF(J$14:J$18,"=2")&gt;=2,TRUE))</formula>
    </cfRule>
  </conditionalFormatting>
  <conditionalFormatting sqref="K21:K25">
    <cfRule type="expression" dxfId="1801" priority="314">
      <formula>AND(J21=3,IF(COUNTIF(J$21:J$25,"=3")&gt;=2,TRUE))</formula>
    </cfRule>
    <cfRule type="expression" dxfId="1800" priority="319">
      <formula>AND(J21=1,IF(COUNTIF(J$21:J$25,"=1")&gt;=2,TRUE))</formula>
    </cfRule>
    <cfRule type="expression" dxfId="1799" priority="320">
      <formula>AND(J21=2,IF(COUNTIF(J$21:J$25,"=2")&gt;=2,TRUE))</formula>
    </cfRule>
  </conditionalFormatting>
  <conditionalFormatting sqref="K7:K11">
    <cfRule type="expression" dxfId="1798" priority="316">
      <formula>AND(J7=3,IF(COUNTIF(J$7:J$11,"=3")&gt;=2,TRUE))</formula>
    </cfRule>
    <cfRule type="expression" dxfId="1797" priority="317">
      <formula>AND(J7=1,IF(COUNTIF(J$7:J$11,"=1")&gt;=2,TRUE))</formula>
    </cfRule>
    <cfRule type="expression" dxfId="1796" priority="318">
      <formula>AND(J7=2,IF(COUNTIF(J$7:J$11,"=2")&gt;=2,TRUE))</formula>
    </cfRule>
  </conditionalFormatting>
  <conditionalFormatting sqref="H7:H11">
    <cfRule type="expression" dxfId="1795" priority="305">
      <formula>AND(J7=1,IF(COUNTIF(J$7:J$11,"=1")&gt;=2,TRUE))</formula>
    </cfRule>
    <cfRule type="expression" dxfId="1794" priority="312">
      <formula>AND(J7=3,IF(COUNTIF(J$7:J$11,"=3")&gt;=2,TRUE))</formula>
    </cfRule>
    <cfRule type="expression" dxfId="1793" priority="313">
      <formula>AND(J7=2,IF(COUNTIF(J$7:J$11,"=2")&gt;=2,TRUE))</formula>
    </cfRule>
  </conditionalFormatting>
  <conditionalFormatting sqref="H14:H18">
    <cfRule type="expression" dxfId="1792" priority="306">
      <formula>AND(J14=1,IF(COUNTIF(J$14:J$18,"=1")&gt;=2,TRUE))</formula>
    </cfRule>
    <cfRule type="expression" dxfId="1791" priority="310">
      <formula>AND(J14=3,IF(COUNTIF(J$14:J$18,"=3")&gt;=2,TRUE))</formula>
    </cfRule>
    <cfRule type="expression" dxfId="1790" priority="311">
      <formula>AND(J14=2,IF(COUNTIF(J$14:J$18,"=2")&gt;=2,TRUE))</formula>
    </cfRule>
  </conditionalFormatting>
  <conditionalFormatting sqref="H21:H25">
    <cfRule type="expression" dxfId="1789" priority="307">
      <formula>AND(J21=1,IF(COUNTIF(J$21:J$25,"=1")&gt;=2,TRUE))</formula>
    </cfRule>
    <cfRule type="expression" dxfId="1788" priority="308">
      <formula>AND(J21=3,IF(COUNTIF(J$21:J$25,"=3")&gt;=2,TRUE))</formula>
    </cfRule>
    <cfRule type="expression" dxfId="1787" priority="309">
      <formula>AND(J21=2,IF(COUNTIF(J$21:J$25,"=2")&gt;=2,TRUE))</formula>
    </cfRule>
  </conditionalFormatting>
  <conditionalFormatting sqref="C69 C73:C74">
    <cfRule type="aboveAverage" dxfId="1786" priority="304"/>
  </conditionalFormatting>
  <conditionalFormatting sqref="D69 D73:D74">
    <cfRule type="aboveAverage" dxfId="1785" priority="303"/>
  </conditionalFormatting>
  <conditionalFormatting sqref="K28:K32">
    <cfRule type="expression" dxfId="1784" priority="300">
      <formula>AND(J28=3,IF(COUNTIF(J$28:J$32,"=3")&gt;=2,TRUE))</formula>
    </cfRule>
    <cfRule type="expression" dxfId="1783" priority="301">
      <formula>AND(J28=1,IF(COUNTIF(J$28:J$32,"=1")&gt;=2,TRUE))</formula>
    </cfRule>
    <cfRule type="expression" dxfId="1782" priority="302">
      <formula>AND(J28=2,IF(COUNTIF(J$28:J$32,"=2")&gt;=2,TRUE))</formula>
    </cfRule>
  </conditionalFormatting>
  <conditionalFormatting sqref="H28:H32">
    <cfRule type="expression" dxfId="1781" priority="297">
      <formula>AND(J28=1,IF(COUNTIF(J$28:J$32,"=1")&gt;=2,TRUE))</formula>
    </cfRule>
    <cfRule type="expression" dxfId="1780" priority="298">
      <formula>AND(J28=3,IF(COUNTIF(J$28:J$32,"=3")&gt;=2,TRUE))</formula>
    </cfRule>
    <cfRule type="expression" dxfId="1779" priority="299">
      <formula>AND(J28=2,IF(COUNTIF(J$28:J$32,"=2")&gt;=2,TRUE))</formula>
    </cfRule>
  </conditionalFormatting>
  <conditionalFormatting sqref="D14 C15">
    <cfRule type="aboveAverage" dxfId="1778" priority="296"/>
  </conditionalFormatting>
  <conditionalFormatting sqref="E14 C16">
    <cfRule type="aboveAverage" dxfId="1777" priority="295"/>
  </conditionalFormatting>
  <conditionalFormatting sqref="F14 C17">
    <cfRule type="aboveAverage" dxfId="1776" priority="294"/>
  </conditionalFormatting>
  <conditionalFormatting sqref="E15 D16">
    <cfRule type="aboveAverage" dxfId="1775" priority="293"/>
  </conditionalFormatting>
  <conditionalFormatting sqref="G14 C18">
    <cfRule type="aboveAverage" dxfId="1774" priority="292"/>
  </conditionalFormatting>
  <conditionalFormatting sqref="F15 D17">
    <cfRule type="aboveAverage" dxfId="1773" priority="291"/>
  </conditionalFormatting>
  <conditionalFormatting sqref="G15 D18">
    <cfRule type="aboveAverage" dxfId="1772" priority="290"/>
  </conditionalFormatting>
  <conditionalFormatting sqref="F16 E17">
    <cfRule type="aboveAverage" dxfId="1771" priority="289"/>
  </conditionalFormatting>
  <conditionalFormatting sqref="G16 E18">
    <cfRule type="aboveAverage" dxfId="1770" priority="288"/>
  </conditionalFormatting>
  <conditionalFormatting sqref="F18 G17">
    <cfRule type="aboveAverage" dxfId="1769" priority="287"/>
  </conditionalFormatting>
  <conditionalFormatting sqref="D21 C22">
    <cfRule type="aboveAverage" dxfId="1768" priority="286"/>
  </conditionalFormatting>
  <conditionalFormatting sqref="E21 C23">
    <cfRule type="aboveAverage" dxfId="1767" priority="285"/>
  </conditionalFormatting>
  <conditionalFormatting sqref="F21 C24">
    <cfRule type="aboveAverage" dxfId="1766" priority="284"/>
  </conditionalFormatting>
  <conditionalFormatting sqref="E22 D23">
    <cfRule type="aboveAverage" dxfId="1765" priority="283"/>
  </conditionalFormatting>
  <conditionalFormatting sqref="G21 C25">
    <cfRule type="aboveAverage" dxfId="1764" priority="282"/>
  </conditionalFormatting>
  <conditionalFormatting sqref="F22 D24">
    <cfRule type="aboveAverage" dxfId="1763" priority="281"/>
  </conditionalFormatting>
  <conditionalFormatting sqref="G22 D25">
    <cfRule type="aboveAverage" dxfId="1762" priority="280"/>
  </conditionalFormatting>
  <conditionalFormatting sqref="F23 E24">
    <cfRule type="aboveAverage" dxfId="1761" priority="279"/>
  </conditionalFormatting>
  <conditionalFormatting sqref="G23 E25">
    <cfRule type="aboveAverage" dxfId="1760" priority="278"/>
  </conditionalFormatting>
  <conditionalFormatting sqref="F25 G24">
    <cfRule type="aboveAverage" dxfId="1759" priority="277"/>
  </conditionalFormatting>
  <conditionalFormatting sqref="D28 C29">
    <cfRule type="aboveAverage" dxfId="1758" priority="276"/>
  </conditionalFormatting>
  <conditionalFormatting sqref="E28 C30">
    <cfRule type="aboveAverage" dxfId="1757" priority="275"/>
  </conditionalFormatting>
  <conditionalFormatting sqref="F28 C31">
    <cfRule type="aboveAverage" dxfId="1756" priority="274"/>
  </conditionalFormatting>
  <conditionalFormatting sqref="E29 D30">
    <cfRule type="aboveAverage" dxfId="1755" priority="273"/>
  </conditionalFormatting>
  <conditionalFormatting sqref="G28 C32">
    <cfRule type="aboveAverage" dxfId="1754" priority="272"/>
  </conditionalFormatting>
  <conditionalFormatting sqref="F29 D31">
    <cfRule type="aboveAverage" dxfId="1753" priority="271"/>
  </conditionalFormatting>
  <conditionalFormatting sqref="G29 D32">
    <cfRule type="aboveAverage" dxfId="1752" priority="270"/>
  </conditionalFormatting>
  <conditionalFormatting sqref="F30 E31">
    <cfRule type="aboveAverage" dxfId="1751" priority="269"/>
  </conditionalFormatting>
  <conditionalFormatting sqref="G30 E32">
    <cfRule type="aboveAverage" dxfId="1750" priority="268"/>
  </conditionalFormatting>
  <conditionalFormatting sqref="F32 G31">
    <cfRule type="aboveAverage" dxfId="1749" priority="267"/>
  </conditionalFormatting>
  <conditionalFormatting sqref="D35 C36">
    <cfRule type="aboveAverage" dxfId="1748" priority="265"/>
  </conditionalFormatting>
  <conditionalFormatting sqref="E35 C37">
    <cfRule type="aboveAverage" dxfId="1747" priority="264"/>
  </conditionalFormatting>
  <conditionalFormatting sqref="F35 C38">
    <cfRule type="aboveAverage" dxfId="1746" priority="263"/>
  </conditionalFormatting>
  <conditionalFormatting sqref="E36 D37">
    <cfRule type="aboveAverage" dxfId="1745" priority="262"/>
  </conditionalFormatting>
  <conditionalFormatting sqref="G35 C39">
    <cfRule type="aboveAverage" dxfId="1744" priority="261"/>
  </conditionalFormatting>
  <conditionalFormatting sqref="F36 D38">
    <cfRule type="aboveAverage" dxfId="1743" priority="260"/>
  </conditionalFormatting>
  <conditionalFormatting sqref="G36 D39">
    <cfRule type="aboveAverage" dxfId="1742" priority="259"/>
  </conditionalFormatting>
  <conditionalFormatting sqref="F37 E38">
    <cfRule type="aboveAverage" dxfId="1741" priority="258"/>
  </conditionalFormatting>
  <conditionalFormatting sqref="G37 E39">
    <cfRule type="aboveAverage" dxfId="1740" priority="257"/>
  </conditionalFormatting>
  <conditionalFormatting sqref="F39 G38">
    <cfRule type="aboveAverage" dxfId="1739" priority="256"/>
  </conditionalFormatting>
  <conditionalFormatting sqref="K42:K46">
    <cfRule type="expression" dxfId="1738" priority="248">
      <formula>AND(J42=3,IF(COUNTIF(J$14:J$18,"=3")&gt;=2,TRUE))</formula>
    </cfRule>
    <cfRule type="expression" dxfId="1737" priority="254">
      <formula>AND(J42=1,IF(COUNTIF(J$14:J$18,"=1")&gt;=2,TRUE))</formula>
    </cfRule>
    <cfRule type="expression" dxfId="1736" priority="255">
      <formula>AND(J42=2,IF(COUNTIF(J$14:J$18,"=2")&gt;=2,TRUE))</formula>
    </cfRule>
  </conditionalFormatting>
  <conditionalFormatting sqref="K49:K53">
    <cfRule type="expression" dxfId="1735" priority="247">
      <formula>AND(J49=3,IF(COUNTIF(J$21:J$25,"=3")&gt;=2,TRUE))</formula>
    </cfRule>
    <cfRule type="expression" dxfId="1734" priority="252">
      <formula>AND(J49=1,IF(COUNTIF(J$21:J$25,"=1")&gt;=2,TRUE))</formula>
    </cfRule>
    <cfRule type="expression" dxfId="1733" priority="253">
      <formula>AND(J49=2,IF(COUNTIF(J$21:J$25,"=2")&gt;=2,TRUE))</formula>
    </cfRule>
  </conditionalFormatting>
  <conditionalFormatting sqref="K35:K39">
    <cfRule type="expression" dxfId="1732" priority="249">
      <formula>AND(J35=3,IF(COUNTIF(J$7:J$11,"=3")&gt;=2,TRUE))</formula>
    </cfRule>
    <cfRule type="expression" dxfId="1731" priority="250">
      <formula>AND(J35=1,IF(COUNTIF(J$7:J$11,"=1")&gt;=2,TRUE))</formula>
    </cfRule>
    <cfRule type="expression" dxfId="1730" priority="251">
      <formula>AND(J35=2,IF(COUNTIF(J$7:J$11,"=2")&gt;=2,TRUE))</formula>
    </cfRule>
  </conditionalFormatting>
  <conditionalFormatting sqref="H35:H39">
    <cfRule type="expression" dxfId="1729" priority="238">
      <formula>AND(J35=1,IF(COUNTIF(J$7:J$11,"=1")&gt;=2,TRUE))</formula>
    </cfRule>
    <cfRule type="expression" dxfId="1728" priority="245">
      <formula>AND(J35=3,IF(COUNTIF(J$7:J$11,"=3")&gt;=2,TRUE))</formula>
    </cfRule>
    <cfRule type="expression" dxfId="1727" priority="246">
      <formula>AND(J35=2,IF(COUNTIF(J$7:J$11,"=2")&gt;=2,TRUE))</formula>
    </cfRule>
  </conditionalFormatting>
  <conditionalFormatting sqref="H42:H46">
    <cfRule type="expression" dxfId="1726" priority="239">
      <formula>AND(J42=1,IF(COUNTIF(J$14:J$18,"=1")&gt;=2,TRUE))</formula>
    </cfRule>
    <cfRule type="expression" dxfId="1725" priority="243">
      <formula>AND(J42=3,IF(COUNTIF(J$14:J$18,"=3")&gt;=2,TRUE))</formula>
    </cfRule>
    <cfRule type="expression" dxfId="1724" priority="244">
      <formula>AND(J42=2,IF(COUNTIF(J$14:J$18,"=2")&gt;=2,TRUE))</formula>
    </cfRule>
  </conditionalFormatting>
  <conditionalFormatting sqref="H49:H53">
    <cfRule type="expression" dxfId="1723" priority="240">
      <formula>AND(J49=1,IF(COUNTIF(J$21:J$25,"=1")&gt;=2,TRUE))</formula>
    </cfRule>
    <cfRule type="expression" dxfId="1722" priority="241">
      <formula>AND(J49=3,IF(COUNTIF(J$21:J$25,"=3")&gt;=2,TRUE))</formula>
    </cfRule>
    <cfRule type="expression" dxfId="1721" priority="242">
      <formula>AND(J49=2,IF(COUNTIF(J$21:J$25,"=2")&gt;=2,TRUE))</formula>
    </cfRule>
  </conditionalFormatting>
  <conditionalFormatting sqref="K56:K60">
    <cfRule type="expression" dxfId="1720" priority="235">
      <formula>AND(J56=3,IF(COUNTIF(J$28:J$32,"=3")&gt;=2,TRUE))</formula>
    </cfRule>
    <cfRule type="expression" dxfId="1719" priority="236">
      <formula>AND(J56=1,IF(COUNTIF(J$28:J$32,"=1")&gt;=2,TRUE))</formula>
    </cfRule>
    <cfRule type="expression" dxfId="1718" priority="237">
      <formula>AND(J56=2,IF(COUNTIF(J$28:J$32,"=2")&gt;=2,TRUE))</formula>
    </cfRule>
  </conditionalFormatting>
  <conditionalFormatting sqref="H56:H60">
    <cfRule type="expression" dxfId="1717" priority="232">
      <formula>AND(J56=1,IF(COUNTIF(J$28:J$32,"=1")&gt;=2,TRUE))</formula>
    </cfRule>
    <cfRule type="expression" dxfId="1716" priority="233">
      <formula>AND(J56=3,IF(COUNTIF(J$28:J$32,"=3")&gt;=2,TRUE))</formula>
    </cfRule>
    <cfRule type="expression" dxfId="1715" priority="234">
      <formula>AND(J56=2,IF(COUNTIF(J$28:J$32,"=2")&gt;=2,TRUE))</formula>
    </cfRule>
  </conditionalFormatting>
  <conditionalFormatting sqref="B37">
    <cfRule type="duplicateValues" dxfId="1714" priority="266"/>
  </conditionalFormatting>
  <conditionalFormatting sqref="D42 C43">
    <cfRule type="aboveAverage" dxfId="1713" priority="230"/>
  </conditionalFormatting>
  <conditionalFormatting sqref="E42 C44">
    <cfRule type="aboveAverage" dxfId="1712" priority="229"/>
  </conditionalFormatting>
  <conditionalFormatting sqref="F42 C45">
    <cfRule type="aboveAverage" dxfId="1711" priority="228"/>
  </conditionalFormatting>
  <conditionalFormatting sqref="E43 D44">
    <cfRule type="aboveAverage" dxfId="1710" priority="227"/>
  </conditionalFormatting>
  <conditionalFormatting sqref="G42 C46">
    <cfRule type="aboveAverage" dxfId="1709" priority="226"/>
  </conditionalFormatting>
  <conditionalFormatting sqref="F43 D45">
    <cfRule type="aboveAverage" dxfId="1708" priority="225"/>
  </conditionalFormatting>
  <conditionalFormatting sqref="G43 D46">
    <cfRule type="aboveAverage" dxfId="1707" priority="224"/>
  </conditionalFormatting>
  <conditionalFormatting sqref="F44 E45">
    <cfRule type="aboveAverage" dxfId="1706" priority="223"/>
  </conditionalFormatting>
  <conditionalFormatting sqref="G44 E46">
    <cfRule type="aboveAverage" dxfId="1705" priority="222"/>
  </conditionalFormatting>
  <conditionalFormatting sqref="F46 G45">
    <cfRule type="aboveAverage" dxfId="1704" priority="221"/>
  </conditionalFormatting>
  <conditionalFormatting sqref="B44">
    <cfRule type="duplicateValues" dxfId="1703" priority="231"/>
  </conditionalFormatting>
  <conditionalFormatting sqref="D49 C50">
    <cfRule type="aboveAverage" dxfId="1702" priority="219"/>
  </conditionalFormatting>
  <conditionalFormatting sqref="E49 C51">
    <cfRule type="aboveAverage" dxfId="1701" priority="218"/>
  </conditionalFormatting>
  <conditionalFormatting sqref="F49 C52">
    <cfRule type="aboveAverage" dxfId="1700" priority="217"/>
  </conditionalFormatting>
  <conditionalFormatting sqref="E50 D51">
    <cfRule type="aboveAverage" dxfId="1699" priority="216"/>
  </conditionalFormatting>
  <conditionalFormatting sqref="G49 C53">
    <cfRule type="aboveAverage" dxfId="1698" priority="215"/>
  </conditionalFormatting>
  <conditionalFormatting sqref="F50 D52">
    <cfRule type="aboveAverage" dxfId="1697" priority="214"/>
  </conditionalFormatting>
  <conditionalFormatting sqref="G50 D53">
    <cfRule type="aboveAverage" dxfId="1696" priority="213"/>
  </conditionalFormatting>
  <conditionalFormatting sqref="F51 E52">
    <cfRule type="aboveAverage" dxfId="1695" priority="212"/>
  </conditionalFormatting>
  <conditionalFormatting sqref="G51 E53">
    <cfRule type="aboveAverage" dxfId="1694" priority="211"/>
  </conditionalFormatting>
  <conditionalFormatting sqref="F53 G52">
    <cfRule type="aboveAverage" dxfId="1693" priority="210"/>
  </conditionalFormatting>
  <conditionalFormatting sqref="B51">
    <cfRule type="duplicateValues" dxfId="1692" priority="220"/>
  </conditionalFormatting>
  <conditionalFormatting sqref="D56 C57">
    <cfRule type="aboveAverage" dxfId="1691" priority="208"/>
  </conditionalFormatting>
  <conditionalFormatting sqref="E56 C58">
    <cfRule type="aboveAverage" dxfId="1690" priority="207"/>
  </conditionalFormatting>
  <conditionalFormatting sqref="F56 C59">
    <cfRule type="aboveAverage" dxfId="1689" priority="206"/>
  </conditionalFormatting>
  <conditionalFormatting sqref="E57 D58">
    <cfRule type="aboveAverage" dxfId="1688" priority="205"/>
  </conditionalFormatting>
  <conditionalFormatting sqref="G56 C60">
    <cfRule type="aboveAverage" dxfId="1687" priority="204"/>
  </conditionalFormatting>
  <conditionalFormatting sqref="F57 D59">
    <cfRule type="aboveAverage" dxfId="1686" priority="203"/>
  </conditionalFormatting>
  <conditionalFormatting sqref="G57 D60">
    <cfRule type="aboveAverage" dxfId="1685" priority="202"/>
  </conditionalFormatting>
  <conditionalFormatting sqref="F58 E59">
    <cfRule type="aboveAverage" dxfId="1684" priority="201"/>
  </conditionalFormatting>
  <conditionalFormatting sqref="G58 E60">
    <cfRule type="aboveAverage" dxfId="1683" priority="200"/>
  </conditionalFormatting>
  <conditionalFormatting sqref="F60 G59">
    <cfRule type="aboveAverage" dxfId="1682" priority="199"/>
  </conditionalFormatting>
  <conditionalFormatting sqref="B58">
    <cfRule type="duplicateValues" dxfId="1681" priority="209"/>
  </conditionalFormatting>
  <conditionalFormatting sqref="G161 G165 G168 G170">
    <cfRule type="containsBlanks" dxfId="1680" priority="165">
      <formula>LEN(TRIM(G161))=0</formula>
    </cfRule>
  </conditionalFormatting>
  <conditionalFormatting sqref="C143 C145 C147 C149 C151 C153">
    <cfRule type="containsBlanks" dxfId="1679" priority="161">
      <formula>LEN(TRIM(C143))=0</formula>
    </cfRule>
  </conditionalFormatting>
  <conditionalFormatting sqref="C139 C141">
    <cfRule type="containsBlanks" dxfId="1678" priority="159">
      <formula>LEN(TRIM(C139))=0</formula>
    </cfRule>
  </conditionalFormatting>
  <conditionalFormatting sqref="E160 E162">
    <cfRule type="containsBlanks" dxfId="1677" priority="157">
      <formula>LEN(TRIM(E160))=0</formula>
    </cfRule>
  </conditionalFormatting>
  <conditionalFormatting sqref="E164 E166">
    <cfRule type="containsBlanks" dxfId="1676" priority="155">
      <formula>LEN(TRIM(E164))=0</formula>
    </cfRule>
  </conditionalFormatting>
  <conditionalFormatting sqref="G154 G156">
    <cfRule type="containsBlanks" dxfId="1675" priority="153">
      <formula>LEN(TRIM(G154))=0</formula>
    </cfRule>
  </conditionalFormatting>
  <conditionalFormatting sqref="A101:A115">
    <cfRule type="cellIs" dxfId="1674" priority="197" operator="equal">
      <formula>"-"</formula>
    </cfRule>
    <cfRule type="duplicateValues" dxfId="1673" priority="198"/>
  </conditionalFormatting>
  <conditionalFormatting sqref="G123 G127">
    <cfRule type="aboveAverage" dxfId="1672" priority="196"/>
  </conditionalFormatting>
  <conditionalFormatting sqref="G130 G132">
    <cfRule type="aboveAverage" dxfId="1671" priority="195"/>
  </conditionalFormatting>
  <conditionalFormatting sqref="G123 G127 G130 G132">
    <cfRule type="containsBlanks" dxfId="1670" priority="194">
      <formula>LEN(TRIM(G123))=0</formula>
    </cfRule>
  </conditionalFormatting>
  <conditionalFormatting sqref="C105 C107">
    <cfRule type="aboveAverage" dxfId="1669" priority="193"/>
  </conditionalFormatting>
  <conditionalFormatting sqref="C109 C111">
    <cfRule type="aboveAverage" dxfId="1668" priority="192"/>
  </conditionalFormatting>
  <conditionalFormatting sqref="C113 C115">
    <cfRule type="aboveAverage" dxfId="1667" priority="191"/>
  </conditionalFormatting>
  <conditionalFormatting sqref="C105 C107 C109 C111 C113 C115">
    <cfRule type="containsBlanks" dxfId="1666" priority="190">
      <formula>LEN(TRIM(C105))=0</formula>
    </cfRule>
  </conditionalFormatting>
  <conditionalFormatting sqref="C101 C103">
    <cfRule type="aboveAverage" dxfId="1665" priority="189"/>
  </conditionalFormatting>
  <conditionalFormatting sqref="C101 C103">
    <cfRule type="containsBlanks" dxfId="1664" priority="188">
      <formula>LEN(TRIM(C101))=0</formula>
    </cfRule>
  </conditionalFormatting>
  <conditionalFormatting sqref="E122 E124">
    <cfRule type="aboveAverage" dxfId="1663" priority="187"/>
  </conditionalFormatting>
  <conditionalFormatting sqref="E122 E124">
    <cfRule type="containsBlanks" dxfId="1662" priority="186">
      <formula>LEN(TRIM(E122))=0</formula>
    </cfRule>
  </conditionalFormatting>
  <conditionalFormatting sqref="E126 E128">
    <cfRule type="aboveAverage" dxfId="1661" priority="185"/>
  </conditionalFormatting>
  <conditionalFormatting sqref="E126 E128">
    <cfRule type="containsBlanks" dxfId="1660" priority="184">
      <formula>LEN(TRIM(E126))=0</formula>
    </cfRule>
  </conditionalFormatting>
  <conditionalFormatting sqref="G116 G118">
    <cfRule type="aboveAverage" dxfId="1659" priority="183"/>
  </conditionalFormatting>
  <conditionalFormatting sqref="G116 G118">
    <cfRule type="containsBlanks" dxfId="1658" priority="182">
      <formula>LEN(TRIM(G116))=0</formula>
    </cfRule>
  </conditionalFormatting>
  <conditionalFormatting sqref="A139:A153">
    <cfRule type="cellIs" dxfId="1657" priority="168" operator="equal">
      <formula>"-"</formula>
    </cfRule>
    <cfRule type="duplicateValues" dxfId="1656" priority="169"/>
  </conditionalFormatting>
  <conditionalFormatting sqref="G161 G165">
    <cfRule type="aboveAverage" dxfId="1655" priority="167"/>
  </conditionalFormatting>
  <conditionalFormatting sqref="G168 G170">
    <cfRule type="aboveAverage" dxfId="1654" priority="166"/>
  </conditionalFormatting>
  <conditionalFormatting sqref="C143 C145">
    <cfRule type="aboveAverage" dxfId="1653" priority="164"/>
  </conditionalFormatting>
  <conditionalFormatting sqref="C147 C149">
    <cfRule type="aboveAverage" dxfId="1652" priority="163"/>
  </conditionalFormatting>
  <conditionalFormatting sqref="C151 C153">
    <cfRule type="aboveAverage" dxfId="1651" priority="162"/>
  </conditionalFormatting>
  <conditionalFormatting sqref="C139 C141">
    <cfRule type="aboveAverage" dxfId="1650" priority="160"/>
  </conditionalFormatting>
  <conditionalFormatting sqref="E160 E162">
    <cfRule type="aboveAverage" dxfId="1649" priority="158"/>
  </conditionalFormatting>
  <conditionalFormatting sqref="E164 E166">
    <cfRule type="aboveAverage" dxfId="1648" priority="156"/>
  </conditionalFormatting>
  <conditionalFormatting sqref="G154 G156">
    <cfRule type="aboveAverage" dxfId="1647" priority="154"/>
  </conditionalFormatting>
  <conditionalFormatting sqref="I10:I11">
    <cfRule type="expression" dxfId="1646" priority="139">
      <formula>FIND(2,I10,1)</formula>
    </cfRule>
    <cfRule type="expression" dxfId="1645" priority="140">
      <formula>FIND(1,I10,1)</formula>
    </cfRule>
  </conditionalFormatting>
  <conditionalFormatting sqref="I7:I9">
    <cfRule type="expression" dxfId="1644" priority="137">
      <formula>FIND(2,I7,1)</formula>
    </cfRule>
    <cfRule type="expression" dxfId="1643" priority="138">
      <formula>FIND(1,I7,1)</formula>
    </cfRule>
  </conditionalFormatting>
  <conditionalFormatting sqref="I14:I18">
    <cfRule type="expression" dxfId="1642" priority="135">
      <formula>FIND(2,I14,1)</formula>
    </cfRule>
    <cfRule type="expression" dxfId="1641" priority="136">
      <formula>FIND(1,I14,1)</formula>
    </cfRule>
  </conditionalFormatting>
  <conditionalFormatting sqref="I21:I25">
    <cfRule type="expression" dxfId="1640" priority="133">
      <formula>FIND(2,I21,1)</formula>
    </cfRule>
    <cfRule type="expression" dxfId="1639" priority="134">
      <formula>FIND(1,I21,1)</formula>
    </cfRule>
  </conditionalFormatting>
  <conditionalFormatting sqref="I28:I32">
    <cfRule type="expression" dxfId="1638" priority="131">
      <formula>FIND(2,I28,1)</formula>
    </cfRule>
    <cfRule type="expression" dxfId="1637" priority="132">
      <formula>FIND(1,I28,1)</formula>
    </cfRule>
  </conditionalFormatting>
  <conditionalFormatting sqref="I38:I39">
    <cfRule type="expression" dxfId="1636" priority="129">
      <formula>FIND(2,I38,1)</formula>
    </cfRule>
    <cfRule type="expression" dxfId="1635" priority="130">
      <formula>FIND(1,I38,1)</formula>
    </cfRule>
  </conditionalFormatting>
  <conditionalFormatting sqref="I35:I37">
    <cfRule type="expression" dxfId="1634" priority="127">
      <formula>FIND(2,I35,1)</formula>
    </cfRule>
    <cfRule type="expression" dxfId="1633" priority="128">
      <formula>FIND(1,I35,1)</formula>
    </cfRule>
  </conditionalFormatting>
  <conditionalFormatting sqref="I42:I46">
    <cfRule type="expression" dxfId="1632" priority="125">
      <formula>FIND(2,I42,1)</formula>
    </cfRule>
    <cfRule type="expression" dxfId="1631" priority="126">
      <formula>FIND(1,I42,1)</formula>
    </cfRule>
  </conditionalFormatting>
  <conditionalFormatting sqref="I49:I53">
    <cfRule type="expression" dxfId="1630" priority="123">
      <formula>FIND(2,I49,1)</formula>
    </cfRule>
    <cfRule type="expression" dxfId="1629" priority="124">
      <formula>FIND(1,I49,1)</formula>
    </cfRule>
  </conditionalFormatting>
  <conditionalFormatting sqref="I56:I60">
    <cfRule type="expression" dxfId="1628" priority="121">
      <formula>FIND(2,I56,1)</formula>
    </cfRule>
    <cfRule type="expression" dxfId="1627" priority="122">
      <formula>FIND(1,I56,1)</formula>
    </cfRule>
  </conditionalFormatting>
  <conditionalFormatting sqref="C105 C107">
    <cfRule type="aboveAverage" dxfId="1626" priority="120"/>
  </conditionalFormatting>
  <conditionalFormatting sqref="C105 C107">
    <cfRule type="containsBlanks" dxfId="1625" priority="119">
      <formula>LEN(TRIM(C105))=0</formula>
    </cfRule>
  </conditionalFormatting>
  <conditionalFormatting sqref="C109 C111">
    <cfRule type="aboveAverage" dxfId="1624" priority="118"/>
  </conditionalFormatting>
  <conditionalFormatting sqref="C109 C111">
    <cfRule type="containsBlanks" dxfId="1623" priority="117">
      <formula>LEN(TRIM(C109))=0</formula>
    </cfRule>
  </conditionalFormatting>
  <conditionalFormatting sqref="C113 C115">
    <cfRule type="aboveAverage" dxfId="1622" priority="116"/>
  </conditionalFormatting>
  <conditionalFormatting sqref="C113 C115">
    <cfRule type="containsBlanks" dxfId="1621" priority="115">
      <formula>LEN(TRIM(C113))=0</formula>
    </cfRule>
  </conditionalFormatting>
  <conditionalFormatting sqref="C143">
    <cfRule type="containsBlanks" dxfId="1620" priority="83">
      <formula>LEN(TRIM(C143))=0</formula>
    </cfRule>
  </conditionalFormatting>
  <conditionalFormatting sqref="C143">
    <cfRule type="aboveAverage" dxfId="1619" priority="84"/>
  </conditionalFormatting>
  <conditionalFormatting sqref="C151">
    <cfRule type="aboveAverage" dxfId="1618" priority="82"/>
  </conditionalFormatting>
  <conditionalFormatting sqref="C151">
    <cfRule type="containsBlanks" dxfId="1617" priority="80">
      <formula>LEN(TRIM(C151))=0</formula>
    </cfRule>
  </conditionalFormatting>
  <conditionalFormatting sqref="C151">
    <cfRule type="aboveAverage" dxfId="1616" priority="81"/>
  </conditionalFormatting>
  <conditionalFormatting sqref="C153">
    <cfRule type="aboveAverage" dxfId="1615" priority="79"/>
  </conditionalFormatting>
  <conditionalFormatting sqref="B30">
    <cfRule type="duplicateValues" dxfId="1614" priority="78"/>
  </conditionalFormatting>
  <conditionalFormatting sqref="E102 E106">
    <cfRule type="containsBlanks" dxfId="1613" priority="76">
      <formula>LEN(TRIM(E102))=0</formula>
    </cfRule>
    <cfRule type="aboveAverage" dxfId="1612" priority="77"/>
  </conditionalFormatting>
  <conditionalFormatting sqref="E110 E114">
    <cfRule type="containsBlanks" dxfId="1611" priority="74">
      <formula>LEN(TRIM(E110))=0</formula>
    </cfRule>
    <cfRule type="aboveAverage" dxfId="1610" priority="75"/>
  </conditionalFormatting>
  <conditionalFormatting sqref="G104 G112">
    <cfRule type="containsBlanks" dxfId="1609" priority="72">
      <formula>LEN(TRIM(G104))=0</formula>
    </cfRule>
    <cfRule type="aboveAverage" dxfId="1608" priority="73"/>
  </conditionalFormatting>
  <conditionalFormatting sqref="E140 E144">
    <cfRule type="containsBlanks" dxfId="1607" priority="70">
      <formula>LEN(TRIM(E140))=0</formula>
    </cfRule>
    <cfRule type="aboveAverage" dxfId="1606" priority="71"/>
  </conditionalFormatting>
  <conditionalFormatting sqref="E148 E152">
    <cfRule type="containsBlanks" dxfId="1605" priority="68">
      <formula>LEN(TRIM(E148))=0</formula>
    </cfRule>
    <cfRule type="aboveAverage" dxfId="1604" priority="69"/>
  </conditionalFormatting>
  <conditionalFormatting sqref="G142 G150">
    <cfRule type="containsBlanks" dxfId="1603" priority="66">
      <formula>LEN(TRIM(G142))=0</formula>
    </cfRule>
    <cfRule type="aboveAverage" dxfId="1602" priority="67"/>
  </conditionalFormatting>
  <conditionalFormatting sqref="D178 C179">
    <cfRule type="aboveAverage" dxfId="1601" priority="65"/>
  </conditionalFormatting>
  <conditionalFormatting sqref="E178 C180">
    <cfRule type="aboveAverage" dxfId="1600" priority="64"/>
  </conditionalFormatting>
  <conditionalFormatting sqref="F178 C181">
    <cfRule type="aboveAverage" dxfId="1599" priority="63"/>
  </conditionalFormatting>
  <conditionalFormatting sqref="E179 D180">
    <cfRule type="aboveAverage" dxfId="1598" priority="62"/>
  </conditionalFormatting>
  <conditionalFormatting sqref="G178 C182">
    <cfRule type="aboveAverage" dxfId="1597" priority="61"/>
  </conditionalFormatting>
  <conditionalFormatting sqref="F179 D181">
    <cfRule type="aboveAverage" dxfId="1596" priority="60"/>
  </conditionalFormatting>
  <conditionalFormatting sqref="G179 D182">
    <cfRule type="aboveAverage" dxfId="1595" priority="59"/>
  </conditionalFormatting>
  <conditionalFormatting sqref="F180 E181">
    <cfRule type="aboveAverage" dxfId="1594" priority="58"/>
  </conditionalFormatting>
  <conditionalFormatting sqref="G180 E182">
    <cfRule type="aboveAverage" dxfId="1593" priority="57"/>
  </conditionalFormatting>
  <conditionalFormatting sqref="F182 G181">
    <cfRule type="aboveAverage" dxfId="1592" priority="56"/>
  </conditionalFormatting>
  <conditionalFormatting sqref="K178:K182">
    <cfRule type="expression" dxfId="1591" priority="53">
      <formula>AND(J178=3,IF(COUNTIF(J$178:J$182,"=3")&gt;=2,TRUE))</formula>
    </cfRule>
    <cfRule type="expression" dxfId="1590" priority="54">
      <formula>AND(J178=1,IF(COUNTIF(J$178:J$182,"=1")&gt;=2,TRUE))</formula>
    </cfRule>
    <cfRule type="expression" dxfId="1589" priority="55">
      <formula>AND(J178=2,IF(COUNTIF(J$178:J$182,"=2")&gt;=2,TRUE))</formula>
    </cfRule>
  </conditionalFormatting>
  <conditionalFormatting sqref="H178:H182">
    <cfRule type="expression" dxfId="1588" priority="50">
      <formula>AND(J178=1,IF(COUNTIF(J$7:J$11,"=1")&gt;=2,TRUE))</formula>
    </cfRule>
    <cfRule type="expression" dxfId="1587" priority="51">
      <formula>AND(J178=3,IF(COUNTIF(J$7:J$11,"=3")&gt;=2,TRUE))</formula>
    </cfRule>
    <cfRule type="expression" dxfId="1586" priority="52">
      <formula>AND(J178=2,IF(COUNTIF(J$7:J$11,"=2")&gt;=2,TRUE))</formula>
    </cfRule>
  </conditionalFormatting>
  <conditionalFormatting sqref="I181:I182">
    <cfRule type="expression" dxfId="1585" priority="48">
      <formula>FIND(2,I181,1)</formula>
    </cfRule>
    <cfRule type="expression" dxfId="1584" priority="49">
      <formula>FIND(1,I181,1)</formula>
    </cfRule>
  </conditionalFormatting>
  <conditionalFormatting sqref="I178:I180">
    <cfRule type="expression" dxfId="1583" priority="46">
      <formula>FIND(2,I178,1)</formula>
    </cfRule>
    <cfRule type="expression" dxfId="1582" priority="47">
      <formula>FIND(1,I178,1)</formula>
    </cfRule>
  </conditionalFormatting>
  <conditionalFormatting sqref="L178:L182">
    <cfRule type="expression" dxfId="1581" priority="43">
      <formula>OR(J178=0,J178=4)</formula>
    </cfRule>
    <cfRule type="expression" dxfId="1580" priority="44">
      <formula>AND(J178=1,IF(COUNTIF(J$7:J$11,"=1")=1,TRUE))</formula>
    </cfRule>
    <cfRule type="expression" dxfId="1579" priority="45">
      <formula>AND(J178=3,IF(COUNTIF(J$7:J$11,"=3")=1,TRUE))</formula>
    </cfRule>
  </conditionalFormatting>
  <conditionalFormatting sqref="C191 C195:C196">
    <cfRule type="aboveAverage" dxfId="1578" priority="38"/>
  </conditionalFormatting>
  <conditionalFormatting sqref="D191 D195:D196">
    <cfRule type="aboveAverage" dxfId="1577" priority="37"/>
  </conditionalFormatting>
  <conditionalFormatting sqref="G198:H205">
    <cfRule type="containsText" dxfId="1576" priority="36" operator="containsText" text="I-Viru">
      <formula>NOT(ISERROR(SEARCH("I-Viru",G198)))</formula>
    </cfRule>
  </conditionalFormatting>
  <conditionalFormatting sqref="G207:H208">
    <cfRule type="containsText" dxfId="1575" priority="35" operator="containsText" text="I-Viru">
      <formula>NOT(ISERROR(SEARCH("I-Viru",G207)))</formula>
    </cfRule>
  </conditionalFormatting>
  <conditionalFormatting sqref="B179">
    <cfRule type="duplicateValues" dxfId="1574" priority="34"/>
  </conditionalFormatting>
  <conditionalFormatting sqref="B180">
    <cfRule type="duplicateValues" dxfId="1573" priority="33"/>
  </conditionalFormatting>
  <conditionalFormatting sqref="B181">
    <cfRule type="duplicateValues" dxfId="1572" priority="32"/>
  </conditionalFormatting>
  <conditionalFormatting sqref="B178">
    <cfRule type="duplicateValues" dxfId="1571" priority="31"/>
  </conditionalFormatting>
  <conditionalFormatting sqref="L15:L18">
    <cfRule type="expression" dxfId="1570" priority="25">
      <formula>OR(J15=0,J15=4)</formula>
    </cfRule>
    <cfRule type="expression" dxfId="1569" priority="29">
      <formula>AND(J15=1,IF(COUNTIF(J$14:J$18,"=1")=1,TRUE))</formula>
    </cfRule>
    <cfRule type="expression" dxfId="1568" priority="30">
      <formula>AND(J15=3,IF(COUNTIF(J$14:J$18,"=3")=1,TRUE))</formula>
    </cfRule>
  </conditionalFormatting>
  <conditionalFormatting sqref="L21:L25">
    <cfRule type="expression" dxfId="1567" priority="26">
      <formula>OR(J21=0,J21=4)</formula>
    </cfRule>
    <cfRule type="expression" dxfId="1566" priority="27">
      <formula>AND(J21=1,IF(COUNTIF(J$21:J$25,"=1")=1,TRUE))</formula>
    </cfRule>
    <cfRule type="expression" dxfId="1565" priority="28">
      <formula>AND(J21=3,IF(COUNTIF(J$21:J$25,"=3")=1,TRUE))</formula>
    </cfRule>
  </conditionalFormatting>
  <conditionalFormatting sqref="L7:L11">
    <cfRule type="expression" dxfId="1564" priority="22">
      <formula>OR(J7=0,J7=4)</formula>
    </cfRule>
    <cfRule type="expression" dxfId="1563" priority="23">
      <formula>AND(J7=1,IF(COUNTIF(J$7:J$11,"=1")=1,TRUE))</formula>
    </cfRule>
    <cfRule type="expression" dxfId="1562" priority="24">
      <formula>AND(J7=3,IF(COUNTIF(J$7:J$11,"=3")=1,TRUE))</formula>
    </cfRule>
  </conditionalFormatting>
  <conditionalFormatting sqref="L28:L32">
    <cfRule type="expression" dxfId="1561" priority="19">
      <formula>OR(J28=0,J28=4)</formula>
    </cfRule>
    <cfRule type="expression" dxfId="1560" priority="20">
      <formula>AND(J28=1,IF(COUNTIF(J$28:J$32,"=1")=1,TRUE))</formula>
    </cfRule>
    <cfRule type="expression" dxfId="1559" priority="21">
      <formula>AND(J28=3,IF(COUNTIF(J$28:J$32,"=3")=1,TRUE))</formula>
    </cfRule>
  </conditionalFormatting>
  <conditionalFormatting sqref="L43:L46">
    <cfRule type="expression" dxfId="1558" priority="13">
      <formula>OR(J43=0,J43=4)</formula>
    </cfRule>
    <cfRule type="expression" dxfId="1557" priority="17">
      <formula>AND(J43=1,IF(COUNTIF(J$14:J$18,"=1")=1,TRUE))</formula>
    </cfRule>
    <cfRule type="expression" dxfId="1556" priority="18">
      <formula>AND(J43=3,IF(COUNTIF(J$14:J$18,"=3")=1,TRUE))</formula>
    </cfRule>
  </conditionalFormatting>
  <conditionalFormatting sqref="L49:L53">
    <cfRule type="expression" dxfId="1555" priority="14">
      <formula>OR(J49=0,J49=4)</formula>
    </cfRule>
    <cfRule type="expression" dxfId="1554" priority="15">
      <formula>AND(J49=1,IF(COUNTIF(J$21:J$25,"=1")=1,TRUE))</formula>
    </cfRule>
    <cfRule type="expression" dxfId="1553" priority="16">
      <formula>AND(J49=3,IF(COUNTIF(J$21:J$25,"=3")=1,TRUE))</formula>
    </cfRule>
  </conditionalFormatting>
  <conditionalFormatting sqref="L35:L39">
    <cfRule type="expression" dxfId="1552" priority="10">
      <formula>OR(J35=0,J35=4)</formula>
    </cfRule>
    <cfRule type="expression" dxfId="1551" priority="11">
      <formula>AND(J35=1,IF(COUNTIF(J$7:J$11,"=1")=1,TRUE))</formula>
    </cfRule>
    <cfRule type="expression" dxfId="1550" priority="12">
      <formula>AND(J35=3,IF(COUNTIF(J$7:J$11,"=3")=1,TRUE))</formula>
    </cfRule>
  </conditionalFormatting>
  <conditionalFormatting sqref="L56:L60">
    <cfRule type="expression" dxfId="1549" priority="7">
      <formula>OR(J56=0,J56=4)</formula>
    </cfRule>
    <cfRule type="expression" dxfId="1548" priority="8">
      <formula>AND(J56=1,IF(COUNTIF(J$28:J$32,"=1")=1,TRUE))</formula>
    </cfRule>
    <cfRule type="expression" dxfId="1547" priority="9">
      <formula>AND(J56=3,IF(COUNTIF(J$28:J$32,"=3")=1,TRUE))</formula>
    </cfRule>
  </conditionalFormatting>
  <conditionalFormatting sqref="L14">
    <cfRule type="expression" dxfId="1546" priority="4">
      <formula>OR(J14=0,J14=4)</formula>
    </cfRule>
    <cfRule type="expression" dxfId="1545" priority="5">
      <formula>AND(J14=1,IF(COUNTIF(J$7:J$11,"=1")=1,TRUE))</formula>
    </cfRule>
    <cfRule type="expression" dxfId="1544" priority="6">
      <formula>AND(J14=3,IF(COUNTIF(J$7:J$11,"=3")=1,TRUE))</formula>
    </cfRule>
  </conditionalFormatting>
  <conditionalFormatting sqref="L42">
    <cfRule type="expression" dxfId="1543" priority="1">
      <formula>OR(J42=0,J42=4)</formula>
    </cfRule>
    <cfRule type="expression" dxfId="1542" priority="2">
      <formula>AND(J42=1,IF(COUNTIF(J$7:J$11,"=1")=1,TRUE))</formula>
    </cfRule>
    <cfRule type="expression" dxfId="1541" priority="3">
      <formula>AND(J42=3,IF(COUNTIF(J$7:J$11,"=3")=1,TRUE))</formula>
    </cfRule>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rowBreaks count="3" manualBreakCount="3">
    <brk id="97" max="16383" man="1"/>
    <brk id="173" max="16383" man="1"/>
    <brk id="297"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0B0F0"/>
    <pageSetUpPr fitToPage="1"/>
  </sheetPr>
  <dimension ref="A1:N309"/>
  <sheetViews>
    <sheetView showGridLines="0" showRowColHeaders="0" zoomScaleNormal="100" workbookViewId="0">
      <pane ySplit="2" topLeftCell="A3" activePane="bottomLeft" state="frozen"/>
      <selection activeCell="K1" sqref="K1"/>
      <selection pane="bottomLeft" activeCell="L1" sqref="L1"/>
    </sheetView>
  </sheetViews>
  <sheetFormatPr defaultRowHeight="12.75" x14ac:dyDescent="0.2"/>
  <cols>
    <col min="1" max="1" width="5.5703125" style="277" customWidth="1"/>
    <col min="2" max="2" width="32.85546875" style="277" bestFit="1" customWidth="1"/>
    <col min="3" max="9" width="6.7109375" style="277" customWidth="1"/>
    <col min="10" max="10" width="6.7109375" style="277" hidden="1" customWidth="1"/>
    <col min="11" max="12" width="4.7109375" style="277" customWidth="1"/>
    <col min="13" max="13" width="6.7109375" style="277" hidden="1" customWidth="1"/>
    <col min="14" max="14" width="4.7109375" style="277" customWidth="1"/>
    <col min="15" max="16384" width="9.140625" style="277"/>
  </cols>
  <sheetData>
    <row r="1" spans="1:14" x14ac:dyDescent="0.2">
      <c r="A1" s="31" t="str">
        <f>UPPER((Kalend!E39)&amp;" - "&amp;(Kalend!C39)&amp;" - "&amp;(Kalend!D39))</f>
        <v>11 - K-JÄRVE 19. MV - DUO</v>
      </c>
      <c r="G1" s="495" t="str">
        <f>HYPERLINK("#'Kalend'!I1","Kalender")</f>
        <v>Kalender</v>
      </c>
      <c r="I1" s="1365" t="str">
        <f>HYPERLINK("#'Reit'!T1","Reiting")</f>
        <v>Reiting</v>
      </c>
      <c r="M1" s="497"/>
    </row>
    <row r="2" spans="1:14" x14ac:dyDescent="0.2">
      <c r="A2" s="2" t="str">
        <f>"Toimumisaeg: "&amp;(Kalend!A39)&amp;" kell "&amp;(Kalend!B39)</f>
        <v>Toimumisaeg: P, 26.08.2018 kell 11:00</v>
      </c>
    </row>
    <row r="3" spans="1:14" x14ac:dyDescent="0.2">
      <c r="A3" s="2" t="str">
        <f>"Toimumiskoht: "&amp;(Kalend!F39)</f>
        <v>Toimumiskoht: K-Järve spordihoone</v>
      </c>
    </row>
    <row r="4" spans="1:14" x14ac:dyDescent="0.2">
      <c r="A4" s="2" t="str">
        <f>"Korraldaja: "&amp;(Kalend!G39)</f>
        <v>Korraldaja: K-Järve SHK, Ivar Viljaste</v>
      </c>
    </row>
    <row r="5" spans="1:14" x14ac:dyDescent="0.2">
      <c r="A5" s="55"/>
      <c r="B5" s="55"/>
      <c r="C5" s="55"/>
      <c r="D5" s="55"/>
      <c r="E5" s="55"/>
      <c r="F5" s="55"/>
      <c r="G5" s="55"/>
      <c r="H5" s="55"/>
    </row>
    <row r="6" spans="1:14" s="506" customFormat="1" x14ac:dyDescent="0.2">
      <c r="A6" s="500" t="s">
        <v>140</v>
      </c>
      <c r="B6" s="501"/>
      <c r="C6" s="502">
        <v>1</v>
      </c>
      <c r="D6" s="502">
        <v>2</v>
      </c>
      <c r="E6" s="502">
        <v>3</v>
      </c>
      <c r="F6" s="502">
        <v>4</v>
      </c>
      <c r="G6" s="502">
        <v>5</v>
      </c>
      <c r="H6" s="502" t="s">
        <v>363</v>
      </c>
      <c r="I6" s="501" t="s">
        <v>26</v>
      </c>
      <c r="J6" s="503" t="s">
        <v>156</v>
      </c>
      <c r="K6" s="504" t="s">
        <v>156</v>
      </c>
      <c r="L6" s="505" t="s">
        <v>364</v>
      </c>
      <c r="M6" s="506" t="b">
        <f>OR(AND(COUNTA(B7:B11)=3,COUNTA(C7:G11)=6),AND(COUNTA(B7:B11)=4,COUNTA(C7:G11)=12),AND(COUNTA(B7:B11)=5,COUNTA(C7:G11)=20))</f>
        <v>1</v>
      </c>
      <c r="N6" s="668"/>
    </row>
    <row r="7" spans="1:14" s="506" customFormat="1" x14ac:dyDescent="0.2">
      <c r="A7" s="500">
        <v>1</v>
      </c>
      <c r="B7" s="508" t="s">
        <v>480</v>
      </c>
      <c r="C7" s="509"/>
      <c r="D7" s="851">
        <v>8</v>
      </c>
      <c r="E7" s="851">
        <v>13</v>
      </c>
      <c r="F7" s="510">
        <v>13</v>
      </c>
      <c r="G7" s="510">
        <v>13</v>
      </c>
      <c r="H7" s="511" t="str">
        <f>(IF(D7-C8&gt;0,1)+IF(E7-C9&gt;0,1)+IF(F7-C10&gt;0,1)+IF(G7-C11&gt;0,1))&amp;"-"&amp;(IF(D7-C8&lt;0,1)+IF(E7-C9&lt;0,1)+IF(F7-C10&lt;0,1)+IF(G7-C11&lt;0,1))</f>
        <v>3-1</v>
      </c>
      <c r="I7" s="510" t="str">
        <f>IF(AND(B7&lt;&gt;"",M$6=TRUE),A$6&amp;RANK(M7,M$7:M$11,0),"")</f>
        <v>A2</v>
      </c>
      <c r="J7" s="512">
        <f>VALUE(LEFT(H7,1))</f>
        <v>3</v>
      </c>
      <c r="K7" s="513">
        <f>IF(AND(J7=1,J8=1,D7&gt;C8),1)+IF(AND(J7=1,J9=1,E7&gt;C9),1)+IF(AND(J7=1,J10=1,F7&gt;C10),1)+IF(AND(J7=1,J11=1,G7&gt;C11),1)+IF(AND(J7=2,J8=2,D7&gt;C8),1)+IF(AND(J7=2,J9=2,E7&gt;C9),1)+IF(AND(J7=2,J10=2,F7&gt;C10),1)+IF(AND(J7=2,J11=2,G7&gt;C11),1)+IF(AND(J7=3,J8=3,D7&gt;C8),1)+IF(AND(J7=3,J9=3,E7&gt;C9),1)+IF(AND(J7=3,J10=3,F7&gt;C10),1)+IF(AND(J7=3,J11=3,G7&gt;C11),1)</f>
        <v>1</v>
      </c>
      <c r="L7" s="1305">
        <f>IF(AND(J7=1,J8=1),D7-C8)+IF(AND(J7=1,J9=1),E7-C9)+IF(AND(J7=1,J10=1),F7-C10)+IF(AND(J7=1,J11=1),G7-C11)+IF(AND(J7=2,J8=2),D7-C8)+IF(AND(J7=2,J9=2),E7-C9)+IF(AND(J7=2,J10=2),F7-C10)+IF(AND(J7=2,J11=2),G7-C11)+IF(AND(J7=3,J8=3),D7-C8)+IF(AND(J7=3,J9=3),E7-C9)+IF(AND(J7=3,J10=3),F7-C10)+IF(AND(J7=3,J11=3),G7-C11)</f>
        <v>-1</v>
      </c>
      <c r="M7" s="515">
        <f>10000*J7+K7*100+L7</f>
        <v>30099</v>
      </c>
      <c r="N7" s="920" t="s">
        <v>647</v>
      </c>
    </row>
    <row r="8" spans="1:14" s="506" customFormat="1" x14ac:dyDescent="0.2">
      <c r="A8" s="500">
        <v>2</v>
      </c>
      <c r="B8" s="518" t="s">
        <v>481</v>
      </c>
      <c r="C8" s="851">
        <v>13</v>
      </c>
      <c r="D8" s="509"/>
      <c r="E8" s="851">
        <v>10</v>
      </c>
      <c r="F8" s="510">
        <v>13</v>
      </c>
      <c r="G8" s="510">
        <v>13</v>
      </c>
      <c r="H8" s="511" t="str">
        <f>(IF(C8-D7&gt;0,1)+IF(E8-D9&gt;0,1)+IF(F8-D10&gt;0,1)+IF(G8-D11&gt;0,1))&amp;"-"&amp;(IF(C8-D7&lt;0,1)+IF(E8-D9&lt;0,1)+IF(F8-D10&lt;0,1)+IF(G8-D11&lt;0,1))</f>
        <v>3-1</v>
      </c>
      <c r="I8" s="510" t="str">
        <f>IF(AND(B8&lt;&gt;"",M$6=TRUE),A$6&amp;RANK(M8,M$7:M$11,0),"")</f>
        <v>A1</v>
      </c>
      <c r="J8" s="512">
        <f t="shared" ref="J8:J11" si="0">VALUE(LEFT(H8,1))</f>
        <v>3</v>
      </c>
      <c r="K8" s="639">
        <f>IF(AND(J8=1,J7=1,C8&gt;D7),1)+IF(AND(J8=1,J9=1,E8&gt;D9),1)+IF(AND(J8=1,J10=1,F8&gt;D10),1)+IF(AND(J8=1,J11=1,G8&gt;D11),1)+IF(AND(J8=2,J7=2,C8&gt;D7),1)+IF(AND(J8=2,J9=2,E8&gt;D9),1)+IF(AND(J8=2,J10=2,F8&gt;D10),1)+IF(AND(J8=2,J11=2,G8&gt;D11),1)+IF(AND(J8=3,J7=3,C8&gt;D7),1)+IF(AND(J8=3,J9=3,E8&gt;D9),1)+IF(AND(J8=3,J10=3,F8&gt;D10),1)+IF(AND(J8=3,J11=3,G8&gt;D11),1)</f>
        <v>1</v>
      </c>
      <c r="L8" s="1305">
        <f>IF(AND(J8=1,J7=1),C8-D7)+IF(AND(J8=1,J9=1),E8-D9)+IF(AND(J8=1,J10=1),F8-D10)+IF(AND(J8=1,J11=1),G8-D11)+IF(AND(J8=2,J7=2),C8-D7)+IF(AND(J8=2,J9=2),E8-D9)+IF(AND(J8=2,J10=2),F8-D10)+IF(AND(J8=2,J11=2),G8-D11)+IF(AND(J8=3,J7=3),C8-D7)+IF(AND(J8=3,J9=3),E8-D9)+IF(AND(J8=3,J10=3),F8-D10)+IF(AND(J8=3,J11=3),G8-D11)</f>
        <v>2</v>
      </c>
      <c r="M8" s="515">
        <f t="shared" ref="M8:M11" si="1">10000*J8+K8*100+L8</f>
        <v>30102</v>
      </c>
      <c r="N8" s="540"/>
    </row>
    <row r="9" spans="1:14" s="506" customFormat="1" x14ac:dyDescent="0.2">
      <c r="A9" s="500">
        <v>3</v>
      </c>
      <c r="B9" s="518" t="s">
        <v>440</v>
      </c>
      <c r="C9" s="851">
        <v>9</v>
      </c>
      <c r="D9" s="854">
        <v>13</v>
      </c>
      <c r="E9" s="509"/>
      <c r="F9" s="510">
        <v>13</v>
      </c>
      <c r="G9" s="510">
        <v>13</v>
      </c>
      <c r="H9" s="511" t="str">
        <f>(IF(C9-E7&gt;0,1)+IF(D9-E8&gt;0,1)+IF(F9-E10&gt;0,1)+IF(G9-E11&gt;0,1))&amp;"-"&amp;(IF(C9-E7&lt;0,1)+IF(D9-E8&lt;0,1)+IF(F9-E10&lt;0,1)+IF(G9-E11&lt;0,1))</f>
        <v>3-1</v>
      </c>
      <c r="I9" s="919" t="s">
        <v>394</v>
      </c>
      <c r="J9" s="512">
        <f t="shared" si="0"/>
        <v>3</v>
      </c>
      <c r="K9" s="639">
        <f>IF(AND(J9=1,J7=1,C9&gt;E7),1)+IF(AND(J9=1,J8=1,D9&gt;E8),1)+IF(AND(J9=1,J10=1,F9&gt;E10),1)+IF(AND(J9=1,J11=1,G9&gt;E11),1)+IF(AND(J9=2,J7=2,C9&gt;E7),1)+IF(AND(J9=2,J8=2,D9&gt;E8),1)+IF(AND(J9=2,J10=2,F9&gt;E10),1)+IF(AND(J9=2,J11=2,G9&gt;E11),1)+IF(AND(J9=3,J7=3,C9&gt;E7),1)+IF(AND(J9=3,J8=3,D9&gt;E8),1)+IF(AND(J9=3,J10=3,F9&gt;E10),1)+IF(AND(J9=3,J11=3,G9&gt;E11),1)</f>
        <v>1</v>
      </c>
      <c r="L9" s="1305">
        <f>IF(AND(J9=1,J7=1),C9-E7)+IF(AND(J9=1,J8=1),D9-E8)+IF(AND(J9=1,J10=1),F9-E10)+IF(AND(J9=1,J11=1),G9-E11)+IF(AND(J9=2,J7=2),C9-E7)+IF(AND(J9=2,J8=2),D9-E8)+IF(AND(J9=2,J10=2),F9-E10)+IF(AND(J9=2,J11=2),G9-E11)+IF(AND(J9=3,J7=3),C9-E7)+IF(AND(J9=3,J8=3),D9-E8)+IF(AND(J9=3,J10=3),F9-E10)+IF(AND(J9=3,J11=3),G9-E11)</f>
        <v>-1</v>
      </c>
      <c r="M9" s="515">
        <f t="shared" si="1"/>
        <v>30099</v>
      </c>
      <c r="N9" s="920" t="s">
        <v>187</v>
      </c>
    </row>
    <row r="10" spans="1:14" s="506" customFormat="1" x14ac:dyDescent="0.2">
      <c r="A10" s="500">
        <v>4</v>
      </c>
      <c r="B10" s="521" t="s">
        <v>441</v>
      </c>
      <c r="C10" s="510">
        <v>6</v>
      </c>
      <c r="D10" s="520">
        <v>6</v>
      </c>
      <c r="E10" s="510">
        <v>9</v>
      </c>
      <c r="F10" s="509"/>
      <c r="G10" s="522">
        <v>9</v>
      </c>
      <c r="H10" s="511" t="str">
        <f>(IF(C10-F7&gt;0,1)+IF(D10-F8&gt;0,1)+IF(E10-F9&gt;0,1)+IF(G10-F11&gt;0,1))&amp;"-"&amp;(IF(C10-F7&lt;0,1)+IF(D10-F8&lt;0,1)+IF(E10-F9&lt;0,1)+IF(G10-F11&lt;0,1))</f>
        <v>0-4</v>
      </c>
      <c r="I10" s="510" t="str">
        <f>IF(AND(B10&lt;&gt;"",M$6=TRUE),A$6&amp;RANK(M10,M$7:M$11,0),"")</f>
        <v>A5</v>
      </c>
      <c r="J10" s="512">
        <f t="shared" si="0"/>
        <v>0</v>
      </c>
      <c r="K10" s="639">
        <f>IF(AND(J10=1,J7=1,C10&gt;F7),1)+IF(AND(J10=1,J8=1,D10&gt;F8),1)+IF(AND(J10=1,J9=1,E10&gt;F9),1)+IF(AND(J10=1,J11=1,G10&gt;F11),1)+IF(AND(J10=2,J7=2,C10&gt;F7),1)+IF(AND(J10=2,J8=2,D10&gt;F8),1)+IF(AND(J10=2,J9=2,E10&gt;F9),1)+IF(AND(J10=2,J11=2,G10&gt;F11),1)+IF(AND(J10=3,J7=3,C10&gt;F7),1)+IF(AND(J10=3,J8=3,D10&gt;F8),1)+IF(AND(J10=3,J9=3,E10&gt;F9),1)+IF(AND(J10=3,J11=3,G10&gt;F11),1)</f>
        <v>0</v>
      </c>
      <c r="L10" s="1305">
        <f>IF(AND(J10=1,J7=1),C10-F7)+IF(AND(J10=1,J8=1),D10-F8)+IF(AND(J10=1,J9=1),E10-F9)+IF(AND(J10=1,J11=1),G10-F11)+IF(AND(J10=2,J7=2),C10-F7)+IF(AND(J10=2,J8=2),D10-F8)+IF(AND(J10=2,J9=2),E10-F9)+IF(AND(J10=2,J11=2),G10-F11)+IF(AND(J10=3,J7=3),C10-F7)+IF(AND(J10=3,J8=3),D10-F8)+IF(AND(J10=3,J9=3),E10-F9)+IF(AND(J10=3,J11=3),G10-F11)</f>
        <v>0</v>
      </c>
      <c r="M10" s="515">
        <f t="shared" si="1"/>
        <v>0</v>
      </c>
      <c r="N10" s="668"/>
    </row>
    <row r="11" spans="1:14" s="506" customFormat="1" x14ac:dyDescent="0.2">
      <c r="A11" s="500">
        <v>5</v>
      </c>
      <c r="B11" s="521" t="s">
        <v>643</v>
      </c>
      <c r="C11" s="510">
        <v>4</v>
      </c>
      <c r="D11" s="510">
        <v>11</v>
      </c>
      <c r="E11" s="510">
        <v>6</v>
      </c>
      <c r="F11" s="510">
        <v>13</v>
      </c>
      <c r="G11" s="509"/>
      <c r="H11" s="511" t="str">
        <f>(IF(C11-G7&gt;0,1)+IF(D11-G8&gt;0,1)+IF(E11-G9&gt;0,1)+IF(F11-G10&gt;0,1))&amp;"-"&amp;(IF(C11-G7&lt;0,1)+IF(D11-G8&lt;0,1)+IF(E11-G9&lt;0,1)+IF(F11-G10&lt;0,1))</f>
        <v>1-3</v>
      </c>
      <c r="I11" s="510" t="str">
        <f>IF(AND(B11&lt;&gt;"",M$6=TRUE),A$6&amp;RANK(M11,M$7:M$11,0),"")</f>
        <v>A4</v>
      </c>
      <c r="J11" s="512">
        <f t="shared" si="0"/>
        <v>1</v>
      </c>
      <c r="K11" s="639">
        <f>IF(AND(J11=1,J7=1,C11&gt;G7),1)+IF(AND(J11=1,J8=1,D11&gt;G8),1)+IF(AND(J11=1,J9=1,E11&gt;G9),1)+IF(AND(J11=1,J10=1,F11&gt;G10),1)+IF(AND(J11=2,J7=2,C11&gt;G7),1)+IF(AND(J11=2,J8=2,D11&gt;G8),1)+IF(AND(J11=2,J9=2,E11&gt;G9),1)+IF(AND(J11=2,J10=2,F11&gt;G10),1)+IF(AND(J11=3,J7=3,C11&gt;G7),1)+IF(AND(J11=3,J8=3,D11&gt;G8),1)+IF(AND(J11=3,J9=3,E11&gt;G9),1)+IF(AND(J11=3,J10=3,F11&gt;G10),1)</f>
        <v>0</v>
      </c>
      <c r="L11" s="1305">
        <f>IF(AND(J11=1,J7=1),C11-G7)+IF(AND(J11=1,J8=1),D11-G8)+IF(AND(J11=1,J9=1),E11-G9)+IF(AND(J11=1,J10=1),F11-G10)+IF(AND(J11=2,J7=2),C11-G7)+IF(AND(J11=2,J8=2),D11-G8)+IF(AND(J11=2,J9=2),E11-G9)+IF(AND(J11=2,J10=2),F11-G10)+IF(AND(J11=3,J7=3),C11-G7)+IF(AND(J11=3,J8=3),D11-G8)+IF(AND(J11=3,J9=3),E11-G9)+IF(AND(J11=3,J10=3),F11-G10)</f>
        <v>0</v>
      </c>
      <c r="M11" s="515">
        <f t="shared" si="1"/>
        <v>10000</v>
      </c>
      <c r="N11" s="668"/>
    </row>
    <row r="12" spans="1:14" s="506" customFormat="1" x14ac:dyDescent="0.2">
      <c r="A12" s="523"/>
      <c r="B12" s="524"/>
      <c r="C12" s="525"/>
      <c r="D12" s="526"/>
      <c r="E12" s="525"/>
      <c r="F12" s="527"/>
      <c r="H12" s="528"/>
      <c r="I12" s="529"/>
      <c r="J12" s="496"/>
      <c r="K12" s="530"/>
      <c r="L12" s="531"/>
      <c r="M12" s="496"/>
      <c r="N12" s="668"/>
    </row>
    <row r="13" spans="1:14" s="498" customFormat="1" x14ac:dyDescent="0.2">
      <c r="A13" s="500" t="s">
        <v>141</v>
      </c>
      <c r="B13" s="501"/>
      <c r="C13" s="502">
        <v>1</v>
      </c>
      <c r="D13" s="502">
        <v>2</v>
      </c>
      <c r="E13" s="502">
        <v>3</v>
      </c>
      <c r="F13" s="502">
        <v>4</v>
      </c>
      <c r="G13" s="502">
        <v>5</v>
      </c>
      <c r="H13" s="501" t="s">
        <v>363</v>
      </c>
      <c r="I13" s="501" t="s">
        <v>26</v>
      </c>
      <c r="J13" s="533" t="s">
        <v>156</v>
      </c>
      <c r="K13" s="504" t="s">
        <v>156</v>
      </c>
      <c r="L13" s="534" t="s">
        <v>364</v>
      </c>
      <c r="M13" s="535" t="b">
        <f>OR(AND(COUNTA(B14:B18)=3,COUNTA(C14:G18)=6),AND(COUNTA(B14:B18)=4,COUNTA(C14:G18)=12),AND(COUNTA(B14:B18)=5,COUNTA(C14:G18)=20))</f>
        <v>1</v>
      </c>
      <c r="N13" s="668"/>
    </row>
    <row r="14" spans="1:14" s="498" customFormat="1" x14ac:dyDescent="0.2">
      <c r="A14" s="500">
        <v>1</v>
      </c>
      <c r="B14" s="508" t="s">
        <v>33</v>
      </c>
      <c r="C14" s="509"/>
      <c r="D14" s="510">
        <v>13</v>
      </c>
      <c r="E14" s="510">
        <v>13</v>
      </c>
      <c r="F14" s="510">
        <v>13</v>
      </c>
      <c r="G14" s="851">
        <v>8</v>
      </c>
      <c r="H14" s="511" t="str">
        <f>(IF(D14-C15&gt;0,1)+IF(E14-C16&gt;0,1)+IF(F14-C17&gt;0,1)+IF(G14-C18&gt;0,1))&amp;"-"&amp;(IF(D14-C15&lt;0,1)+IF(E14-C16&lt;0,1)+IF(F14-C17&lt;0,1)+IF(G14-C18&lt;0,1))</f>
        <v>3-1</v>
      </c>
      <c r="I14" s="510" t="str">
        <f>IF(AND(B14&lt;&gt;"",M$13=TRUE),A$13&amp;RANK(M14,M$14:M$18,0),"")</f>
        <v>B2</v>
      </c>
      <c r="J14" s="512">
        <f>VALUE(LEFT(H14,1))</f>
        <v>3</v>
      </c>
      <c r="K14" s="513">
        <f>IF(AND(J14=1,J15=1,D14&gt;C15),1)+IF(AND(J14=1,J16=1,E14&gt;C16),1)+IF(AND(J14=1,J17=1,F14&gt;C17),1)+IF(AND(J14=1,J18=1,G14&gt;C18),1)+IF(AND(J14=2,J15=2,D14&gt;C15),1)+IF(AND(J14=2,J16=2,E14&gt;C16),1)+IF(AND(J14=2,J17=2,F14&gt;C17),1)+IF(AND(J14=2,J18=2,G14&gt;C18),1)+IF(AND(J14=3,J15=3,D14&gt;C15),1)+IF(AND(J14=3,J16=3,E14&gt;C16),1)+IF(AND(J14=3,J17=3,F14&gt;C17),1)+IF(AND(J14=3,J18=3,G14&gt;C18),1)</f>
        <v>0</v>
      </c>
      <c r="L14" s="1308">
        <f>IF(AND(J14=1,J15=1),D14-C15)+IF(AND(J14=1,J16=1),E14-C16)+IF(AND(J14=1,J17=1),F14-C17)+IF(AND(J14=1,J18=1),G14-C18)+IF(AND(J14=2,J15=2),D14-C15)+IF(AND(J14=2,J16=2),E14-C16)+IF(AND(J14=2,J17=2),F14-C17)+IF(AND(J14=2,J18=2),G14-C18)+IF(AND(J14=3,J15=3),D14-C15)+IF(AND(J14=3,J16=3),E14-C16)+IF(AND(J14=3,J17=3),F14-C17)+IF(AND(J14=3,J18=3),G14-C18)</f>
        <v>-5</v>
      </c>
      <c r="M14" s="515">
        <f>10000*J14+K14*100+L14</f>
        <v>29995</v>
      </c>
      <c r="N14" s="668"/>
    </row>
    <row r="15" spans="1:14" s="498" customFormat="1" x14ac:dyDescent="0.2">
      <c r="A15" s="500">
        <v>2</v>
      </c>
      <c r="B15" s="518" t="s">
        <v>483</v>
      </c>
      <c r="C15" s="510">
        <v>9</v>
      </c>
      <c r="D15" s="509"/>
      <c r="E15" s="510">
        <v>6</v>
      </c>
      <c r="F15" s="510">
        <v>9</v>
      </c>
      <c r="G15" s="510">
        <v>10</v>
      </c>
      <c r="H15" s="511" t="str">
        <f>(IF(C15-D14&gt;0,1)+IF(E15-D16&gt;0,1)+IF(F15-D17&gt;0,1)+IF(G15-D18&gt;0,1))&amp;"-"&amp;(IF(C15-D14&lt;0,1)+IF(E15-D16&lt;0,1)+IF(F15-D17&lt;0,1)+IF(G15-D18&lt;0,1))</f>
        <v>0-4</v>
      </c>
      <c r="I15" s="510" t="str">
        <f>IF(AND(B15&lt;&gt;"",M$13=TRUE),A$13&amp;RANK(M15,M$14:M$18,0),"")</f>
        <v>B5</v>
      </c>
      <c r="J15" s="512">
        <f t="shared" ref="J15:J18" si="2">VALUE(LEFT(H15,1))</f>
        <v>0</v>
      </c>
      <c r="K15" s="639">
        <f>IF(AND(J15=1,J14=1,C15&gt;D14),1)+IF(AND(J15=1,J16=1,E15&gt;D16),1)+IF(AND(J15=1,J17=1,F15&gt;D17),1)+IF(AND(J15=1,J18=1,G15&gt;D18),1)+IF(AND(J15=2,J14=2,C15&gt;D14),1)+IF(AND(J15=2,J16=2,E15&gt;D16),1)+IF(AND(J15=2,J17=2,F15&gt;D17),1)+IF(AND(J15=2,J18=2,G15&gt;D18),1)+IF(AND(J15=3,J14=3,C15&gt;D14),1)+IF(AND(J15=3,J16=3,E15&gt;D16),1)+IF(AND(J15=3,J17=3,F15&gt;D17),1)+IF(AND(J15=3,J18=3,G15&gt;D18),1)</f>
        <v>0</v>
      </c>
      <c r="L15" s="1308">
        <f>IF(AND(J15=1,J14=1),C15-D14)+IF(AND(J15=1,J16=1),E15-D16)+IF(AND(J15=1,J17=1),F15-D17)+IF(AND(J15=1,J18=1),G15-D18)+IF(AND(J15=2,J14=2),C15-D14)+IF(AND(J15=2,J16=2),E15-D16)+IF(AND(J15=2,J17=2),F15-D17)+IF(AND(J15=2,J18=2),G15-D18)+IF(AND(J15=3,J14=3),C15-D14)+IF(AND(J15=3,J16=3),E15-D16)+IF(AND(J15=3,J17=3),F15-D17)+IF(AND(J15=3,J18=3),G15-D18)</f>
        <v>0</v>
      </c>
      <c r="M15" s="515">
        <f t="shared" ref="M15:M18" si="3">10000*J15+K15*100+L15</f>
        <v>0</v>
      </c>
      <c r="N15" s="668"/>
    </row>
    <row r="16" spans="1:14" s="498" customFormat="1" x14ac:dyDescent="0.2">
      <c r="A16" s="500">
        <v>3</v>
      </c>
      <c r="B16" s="518" t="s">
        <v>645</v>
      </c>
      <c r="C16" s="510">
        <v>8</v>
      </c>
      <c r="D16" s="520">
        <v>13</v>
      </c>
      <c r="E16" s="509"/>
      <c r="F16" s="852">
        <v>2</v>
      </c>
      <c r="G16" s="510">
        <v>13</v>
      </c>
      <c r="H16" s="511" t="str">
        <f>(IF(C16-E14&gt;0,1)+IF(D16-E15&gt;0,1)+IF(F16-E17&gt;0,1)+IF(G16-E18&gt;0,1))&amp;"-"&amp;(IF(C16-E14&lt;0,1)+IF(D16-E15&lt;0,1)+IF(F16-E17&lt;0,1)+IF(G16-E18&lt;0,1))</f>
        <v>2-2</v>
      </c>
      <c r="I16" s="510" t="str">
        <f>IF(AND(B16&lt;&gt;"",M$13=TRUE),A$13&amp;RANK(M16,M$14:M$18,0),"")</f>
        <v>B4</v>
      </c>
      <c r="J16" s="512">
        <f t="shared" si="2"/>
        <v>2</v>
      </c>
      <c r="K16" s="639">
        <f>IF(AND(J16=1,J14=1,C16&gt;E14),1)+IF(AND(J16=1,J15=1,D16&gt;E15),1)+IF(AND(J16=1,J17=1,F16&gt;E17),1)+IF(AND(J16=1,J18=1,G16&gt;E18),1)+IF(AND(J16=2,J14=2,C16&gt;E14),1)+IF(AND(J16=2,J15=2,D16&gt;E15),1)+IF(AND(J16=2,J17=2,F16&gt;E17),1)+IF(AND(J16=2,J18=2,G16&gt;E18),1)+IF(AND(J16=3,J14=3,C16&gt;E14),1)+IF(AND(J16=3,J15=3,D16&gt;E15),1)+IF(AND(J16=3,J17=3,F16&gt;E17),1)+IF(AND(J16=3,J18=3,G16&gt;E18),1)</f>
        <v>0</v>
      </c>
      <c r="L16" s="1308">
        <f>IF(AND(J16=1,J14=1),C16-E14)+IF(AND(J16=1,J15=1),D16-E15)+IF(AND(J16=1,J17=1),F16-E17)+IF(AND(J16=1,J18=1),G16-E18)+IF(AND(J16=2,J14=2),C16-E14)+IF(AND(J16=2,J15=2),D16-E15)+IF(AND(J16=2,J17=2),F16-E17)+IF(AND(J16=2,J18=2),G16-E18)+IF(AND(J16=3,J14=3),C16-E14)+IF(AND(J16=3,J15=3),D16-E15)+IF(AND(J16=3,J17=3),F16-E17)+IF(AND(J16=3,J18=3),G16-E18)</f>
        <v>-11</v>
      </c>
      <c r="M16" s="515">
        <f t="shared" si="3"/>
        <v>19989</v>
      </c>
      <c r="N16" s="668"/>
    </row>
    <row r="17" spans="1:14" s="498" customFormat="1" x14ac:dyDescent="0.2">
      <c r="A17" s="500">
        <v>4</v>
      </c>
      <c r="B17" s="521" t="s">
        <v>644</v>
      </c>
      <c r="C17" s="510">
        <v>0</v>
      </c>
      <c r="D17" s="520">
        <v>11</v>
      </c>
      <c r="E17" s="852">
        <v>13</v>
      </c>
      <c r="F17" s="509"/>
      <c r="G17" s="522">
        <v>1</v>
      </c>
      <c r="H17" s="511" t="str">
        <f>(IF(C17-F14&gt;0,1)+IF(D17-F15&gt;0,1)+IF(E17-F16&gt;0,1)+IF(G17-F18&gt;0,1))&amp;"-"&amp;(IF(C17-F14&lt;0,1)+IF(D17-F15&lt;0,1)+IF(E17-F16&lt;0,1)+IF(G17-F18&lt;0,1))</f>
        <v>2-2</v>
      </c>
      <c r="I17" s="510" t="str">
        <f>IF(AND(B17&lt;&gt;"",M$13=TRUE),A$13&amp;RANK(M17,M$14:M$18,0),"")</f>
        <v>B3</v>
      </c>
      <c r="J17" s="512">
        <f t="shared" si="2"/>
        <v>2</v>
      </c>
      <c r="K17" s="639">
        <f>IF(AND(J17=1,J14=1,C17&gt;F14),1)+IF(AND(J17=1,J15=1,D17&gt;F15),1)+IF(AND(J17=1,J16=1,E17&gt;F16),1)+IF(AND(J17=1,J18=1,G17&gt;F18),1)+IF(AND(J17=2,J14=2,C17&gt;F14),1)+IF(AND(J17=2,J15=2,D17&gt;F15),1)+IF(AND(J17=2,J16=2,E17&gt;F16),1)+IF(AND(J17=2,J18=2,G17&gt;F18),1)+IF(AND(J17=3,J14=3,C17&gt;F14),1)+IF(AND(J17=3,J15=3,D17&gt;F15),1)+IF(AND(J17=3,J16=3,E17&gt;F16),1)+IF(AND(J17=3,J18=3,G17&gt;F18),1)</f>
        <v>1</v>
      </c>
      <c r="L17" s="1308">
        <f>IF(AND(J17=1,J14=1),C17-F14)+IF(AND(J17=1,J15=1),D17-F15)+IF(AND(J17=1,J16=1),E17-F16)+IF(AND(J17=1,J18=1),G17-F18)+IF(AND(J17=2,J14=2),C17-F14)+IF(AND(J17=2,J15=2),D17-F15)+IF(AND(J17=2,J16=2),E17-F16)+IF(AND(J17=2,J18=2),G17-F18)+IF(AND(J17=3,J14=3),C17-F14)+IF(AND(J17=3,J15=3),D17-F15)+IF(AND(J17=3,J16=3),E17-F16)+IF(AND(J17=3,J18=3),G17-F18)</f>
        <v>11</v>
      </c>
      <c r="M17" s="515">
        <f t="shared" si="3"/>
        <v>20111</v>
      </c>
      <c r="N17" s="668"/>
    </row>
    <row r="18" spans="1:14" s="498" customFormat="1" x14ac:dyDescent="0.2">
      <c r="A18" s="500">
        <v>5</v>
      </c>
      <c r="B18" s="521" t="s">
        <v>37</v>
      </c>
      <c r="C18" s="851">
        <v>13</v>
      </c>
      <c r="D18" s="510">
        <v>13</v>
      </c>
      <c r="E18" s="510">
        <v>12</v>
      </c>
      <c r="F18" s="510">
        <v>13</v>
      </c>
      <c r="G18" s="509"/>
      <c r="H18" s="511" t="str">
        <f>(IF(C18-G14&gt;0,1)+IF(D18-G15&gt;0,1)+IF(E18-G16&gt;0,1)+IF(F18-G17&gt;0,1))&amp;"-"&amp;(IF(C18-G14&lt;0,1)+IF(D18-G15&lt;0,1)+IF(E18-G16&lt;0,1)+IF(F18-G17&lt;0,1))</f>
        <v>3-1</v>
      </c>
      <c r="I18" s="510" t="str">
        <f>IF(AND(B18&lt;&gt;"",M$13=TRUE),A$13&amp;RANK(M18,M$14:M$18,0),"")</f>
        <v>B1</v>
      </c>
      <c r="J18" s="512">
        <f t="shared" si="2"/>
        <v>3</v>
      </c>
      <c r="K18" s="639">
        <f>IF(AND(J18=1,J14=1,C18&gt;G14),1)+IF(AND(J18=1,J15=1,D18&gt;G15),1)+IF(AND(J18=1,J16=1,E18&gt;G16),1)+IF(AND(J18=1,J17=1,F18&gt;G17),1)+IF(AND(J18=2,J14=2,C18&gt;G14),1)+IF(AND(J18=2,J15=2,D18&gt;G15),1)+IF(AND(J18=2,J16=2,E18&gt;G16),1)+IF(AND(J18=2,J17=2,F18&gt;G17),1)+IF(AND(J18=3,J14=3,C18&gt;G14),1)+IF(AND(J18=3,J15=3,D18&gt;G15),1)+IF(AND(J18=3,J16=3,E18&gt;G16),1)+IF(AND(J18=3,J17=3,F18&gt;G17),1)</f>
        <v>1</v>
      </c>
      <c r="L18" s="1305">
        <f>IF(AND(J18=1,J14=1),C18-G14)+IF(AND(J18=1,J15=1),D18-G15)+IF(AND(J18=1,J16=1),E18-G16)+IF(AND(J18=1,J17=1),F18-G17)+IF(AND(J18=2,J14=2),C18-G14)+IF(AND(J18=2,J15=2),D18-G15)+IF(AND(J18=2,J16=2),E18-G16)+IF(AND(J18=2,J17=2),F18-G17)+IF(AND(J18=3,J14=3),C18-G14)+IF(AND(J18=3,J15=3),D18-G15)+IF(AND(J18=3,J16=3),E18-G16)+IF(AND(J18=3,J17=3),F18-G17)</f>
        <v>5</v>
      </c>
      <c r="M18" s="515">
        <f t="shared" si="3"/>
        <v>30105</v>
      </c>
      <c r="N18" s="668"/>
    </row>
    <row r="19" spans="1:14" s="506" customFormat="1" hidden="1" x14ac:dyDescent="0.2">
      <c r="A19" s="523"/>
      <c r="B19" s="524"/>
      <c r="C19" s="525"/>
      <c r="D19" s="526"/>
      <c r="E19" s="525"/>
      <c r="F19" s="527"/>
      <c r="H19" s="528"/>
      <c r="I19" s="529"/>
      <c r="J19" s="496"/>
      <c r="K19" s="537"/>
      <c r="L19" s="531"/>
      <c r="M19" s="496"/>
      <c r="N19" s="668"/>
    </row>
    <row r="20" spans="1:14" s="498" customFormat="1" hidden="1" x14ac:dyDescent="0.2">
      <c r="A20" s="500" t="s">
        <v>142</v>
      </c>
      <c r="B20" s="501"/>
      <c r="C20" s="502">
        <v>1</v>
      </c>
      <c r="D20" s="502">
        <v>2</v>
      </c>
      <c r="E20" s="502">
        <v>3</v>
      </c>
      <c r="F20" s="502">
        <v>4</v>
      </c>
      <c r="G20" s="502">
        <v>5</v>
      </c>
      <c r="H20" s="501" t="s">
        <v>363</v>
      </c>
      <c r="I20" s="501" t="s">
        <v>26</v>
      </c>
      <c r="J20" s="533" t="s">
        <v>156</v>
      </c>
      <c r="K20" s="504" t="s">
        <v>156</v>
      </c>
      <c r="L20" s="534" t="s">
        <v>364</v>
      </c>
      <c r="M20" s="535" t="b">
        <f>OR(AND(COUNTA(B21:B25)=3,COUNTA(C21:G25)=6),AND(COUNTA(B21:B25)=4,COUNTA(C21:G25)=12),AND(COUNTA(B21:B25)=5,COUNTA(C21:G25)=20))</f>
        <v>0</v>
      </c>
      <c r="N20" s="668"/>
    </row>
    <row r="21" spans="1:14" s="498" customFormat="1" hidden="1" x14ac:dyDescent="0.2">
      <c r="A21" s="500">
        <v>1</v>
      </c>
      <c r="B21" s="508"/>
      <c r="C21" s="509"/>
      <c r="D21" s="510"/>
      <c r="E21" s="510"/>
      <c r="F21" s="510"/>
      <c r="G21" s="510"/>
      <c r="H21" s="511" t="str">
        <f>(IF(D21-C22&gt;0,1)+IF(E21-C23&gt;0,1)+IF(F21-C24&gt;0,1)+IF(G21-C25&gt;0,1))&amp;"-"&amp;(IF(D21-C22&lt;0,1)+IF(E21-C23&lt;0,1)+IF(F21-C24&lt;0,1)+IF(G21-C25&lt;0,1))</f>
        <v>0-0</v>
      </c>
      <c r="I21" s="510" t="str">
        <f>IF(AND(B21&lt;&gt;"",M$20=TRUE),A$20&amp;RANK(M21,M$21:M$25,0),"")</f>
        <v/>
      </c>
      <c r="J21" s="512">
        <f>VALUE(LEFT(H21,1))</f>
        <v>0</v>
      </c>
      <c r="K21" s="513">
        <f>IF(AND(J21=1,J22=1,D21&gt;C22),1)+IF(AND(J21=1,J23=1,E21&gt;C23),1)+IF(AND(J21=1,J24=1,F21&gt;C24),1)+IF(AND(J21=1,J25=1,G21&gt;C25),1)+IF(AND(J21=2,J22=2,D21&gt;C22),1)+IF(AND(J21=2,J23=2,E21&gt;C23),1)+IF(AND(J21=2,J24=2,F21&gt;C24),1)+IF(AND(J21=2,J25=2,G21&gt;C25),1)+IF(AND(J21=3,J22=3,D21&gt;C22),1)+IF(AND(J21=3,J23=3,E21&gt;C23),1)+IF(AND(J21=3,J24=3,F21&gt;C24),1)+IF(AND(J21=3,J25=3,G21&gt;C25),1)</f>
        <v>0</v>
      </c>
      <c r="L21" s="1305">
        <f>IF(AND(J21=1,J22=1),D21-C22)+IF(AND(J21=1,J23=1),E21-C23)+IF(AND(J21=1,J24=1),F21-C24)+IF(AND(J21=1,J25=1),G21-C25)+IF(AND(J21=2,J22=2),D21-C22)+IF(AND(J21=2,J23=2),E21-C23)+IF(AND(J21=2,J24=2),F21-C24)+IF(AND(J21=2,J25=2),G21-C25)+IF(AND(J21=3,J22=3),D21-C22)+IF(AND(J21=3,J23=3),E21-C23)+IF(AND(J21=3,J24=3),F21-C24)+IF(AND(J21=3,J25=3),G21-C25)</f>
        <v>0</v>
      </c>
      <c r="M21" s="515">
        <f>10000*J21+K21*100+L21</f>
        <v>0</v>
      </c>
      <c r="N21" s="668"/>
    </row>
    <row r="22" spans="1:14" s="498" customFormat="1" hidden="1" x14ac:dyDescent="0.2">
      <c r="A22" s="500">
        <v>2</v>
      </c>
      <c r="B22" s="518"/>
      <c r="C22" s="510"/>
      <c r="D22" s="509"/>
      <c r="E22" s="510"/>
      <c r="F22" s="510"/>
      <c r="G22" s="510"/>
      <c r="H22" s="511" t="str">
        <f>(IF(C22-D21&gt;0,1)+IF(E22-D23&gt;0,1)+IF(F22-D24&gt;0,1)+IF(G22-D25&gt;0,1))&amp;"-"&amp;(IF(C22-D21&lt;0,1)+IF(E22-D23&lt;0,1)+IF(F22-D24&lt;0,1)+IF(G22-D25&lt;0,1))</f>
        <v>0-0</v>
      </c>
      <c r="I22" s="510" t="str">
        <f>IF(AND(B22&lt;&gt;"",M$20=TRUE),A$20&amp;RANK(M22,M$21:M$25,0),"")</f>
        <v/>
      </c>
      <c r="J22" s="512">
        <f t="shared" ref="J22:J25" si="4">VALUE(LEFT(H22,1))</f>
        <v>0</v>
      </c>
      <c r="K22" s="639">
        <f>IF(AND(J22=1,J21=1,C22&gt;D21),1)+IF(AND(J22=1,J23=1,E22&gt;D23),1)+IF(AND(J22=1,J24=1,F22&gt;D24),1)+IF(AND(J22=1,J25=1,G22&gt;D25),1)+IF(AND(J22=2,J21=2,C22&gt;D21),1)+IF(AND(J22=2,J23=2,E22&gt;D23),1)+IF(AND(J22=2,J24=2,F22&gt;D24),1)+IF(AND(J22=2,J25=2,G22&gt;D25),1)+IF(AND(J22=3,J21=3,C22&gt;D21),1)+IF(AND(J22=3,J23=3,E22&gt;D23),1)+IF(AND(J22=3,J24=3,F22&gt;D24),1)+IF(AND(J22=3,J25=3,G22&gt;D25),1)</f>
        <v>0</v>
      </c>
      <c r="L22" s="1305">
        <f>IF(AND(J22=1,J21=1),C22-D21)+IF(AND(J22=1,J23=1),E22-D23)+IF(AND(J22=1,J24=1),F22-D24)+IF(AND(J22=1,J25=1),G22-D25)+IF(AND(J22=2,J21=2),C22-D21)+IF(AND(J22=2,J23=2),E22-D23)+IF(AND(J22=2,J24=2),F22-D24)+IF(AND(J22=2,J25=2),G22-D25)+IF(AND(J22=3,J21=3),C22-D21)+IF(AND(J22=3,J23=3),E22-D23)+IF(AND(J22=3,J24=3),F22-D24)+IF(AND(J22=3,J25=3),G22-D25)</f>
        <v>0</v>
      </c>
      <c r="M22" s="515">
        <f t="shared" ref="M22:M25" si="5">10000*J22+K22*100+L22</f>
        <v>0</v>
      </c>
      <c r="N22" s="668"/>
    </row>
    <row r="23" spans="1:14" s="498" customFormat="1" hidden="1" x14ac:dyDescent="0.2">
      <c r="A23" s="500">
        <v>3</v>
      </c>
      <c r="B23" s="518"/>
      <c r="C23" s="510"/>
      <c r="D23" s="520"/>
      <c r="E23" s="509"/>
      <c r="F23" s="510"/>
      <c r="G23" s="510"/>
      <c r="H23" s="511" t="str">
        <f>(IF(C23-E21&gt;0,1)+IF(D23-E22&gt;0,1)+IF(F23-E24&gt;0,1)+IF(G23-E25&gt;0,1))&amp;"-"&amp;(IF(C23-E21&lt;0,1)+IF(D23-E22&lt;0,1)+IF(F23-E24&lt;0,1)+IF(G23-E25&lt;0,1))</f>
        <v>0-0</v>
      </c>
      <c r="I23" s="510" t="str">
        <f>IF(AND(B23&lt;&gt;"",M$20=TRUE),A$20&amp;RANK(M23,M$21:M$25,0),"")</f>
        <v/>
      </c>
      <c r="J23" s="512">
        <f t="shared" si="4"/>
        <v>0</v>
      </c>
      <c r="K23" s="639">
        <f>IF(AND(J23=1,J21=1,C23&gt;E21),1)+IF(AND(J23=1,J22=1,D23&gt;E22),1)+IF(AND(J23=1,J24=1,F23&gt;E24),1)+IF(AND(J23=1,J25=1,G23&gt;E25),1)+IF(AND(J23=2,J21=2,C23&gt;E21),1)+IF(AND(J23=2,J22=2,D23&gt;E22),1)+IF(AND(J23=2,J24=2,F23&gt;E24),1)+IF(AND(J23=2,J25=2,G23&gt;E25),1)+IF(AND(J23=3,J21=3,C23&gt;E21),1)+IF(AND(J23=3,J22=3,D23&gt;E22),1)+IF(AND(J23=3,J24=3,F23&gt;E24),1)+IF(AND(J23=3,J25=3,G23&gt;E25),1)</f>
        <v>0</v>
      </c>
      <c r="L23" s="1305">
        <f>IF(AND(J23=1,J21=1),C23-E21)+IF(AND(J23=1,J22=1),D23-E22)+IF(AND(J23=1,J24=1),F23-E24)+IF(AND(J23=1,J25=1),G23-E25)+IF(AND(J23=2,J21=2),C23-E21)+IF(AND(J23=2,J22=2),D23-E22)+IF(AND(J23=2,J24=2),F23-E24)+IF(AND(J23=2,J25=2),G23-E25)+IF(AND(J23=3,J21=3),C23-E21)+IF(AND(J23=3,J22=3),D23-E22)+IF(AND(J23=3,J24=3),F23-E24)+IF(AND(J23=3,J25=3),G23-E25)</f>
        <v>0</v>
      </c>
      <c r="M23" s="515">
        <f t="shared" si="5"/>
        <v>0</v>
      </c>
      <c r="N23" s="668"/>
    </row>
    <row r="24" spans="1:14" s="498" customFormat="1" hidden="1" x14ac:dyDescent="0.2">
      <c r="A24" s="500">
        <v>4</v>
      </c>
      <c r="B24" s="518"/>
      <c r="C24" s="510"/>
      <c r="D24" s="520"/>
      <c r="E24" s="510"/>
      <c r="F24" s="509"/>
      <c r="G24" s="522"/>
      <c r="H24" s="511" t="str">
        <f>(IF(C24-F21&gt;0,1)+IF(D24-F22&gt;0,1)+IF(E24-F23&gt;0,1)+IF(G24-F25&gt;0,1))&amp;"-"&amp;(IF(C24-F21&lt;0,1)+IF(D24-F22&lt;0,1)+IF(E24-F23&lt;0,1)+IF(G24-F25&lt;0,1))</f>
        <v>0-0</v>
      </c>
      <c r="I24" s="510" t="str">
        <f>IF(AND(B24&lt;&gt;"",M$20=TRUE),A$20&amp;RANK(M24,M$21:M$25,0),"")</f>
        <v/>
      </c>
      <c r="J24" s="512">
        <f t="shared" si="4"/>
        <v>0</v>
      </c>
      <c r="K24" s="639">
        <f>IF(AND(J24=1,J21=1,C24&gt;F21),1)+IF(AND(J24=1,J22=1,D24&gt;F22),1)+IF(AND(J24=1,J23=1,E24&gt;F23),1)+IF(AND(J24=1,J25=1,G24&gt;F25),1)+IF(AND(J24=2,J21=2,C24&gt;F21),1)+IF(AND(J24=2,J22=2,D24&gt;F22),1)+IF(AND(J24=2,J23=2,E24&gt;F23),1)+IF(AND(J24=2,J25=2,G24&gt;F25),1)+IF(AND(J24=3,J21=3,C24&gt;F21),1)+IF(AND(J24=3,J22=3,D24&gt;F22),1)+IF(AND(J24=3,J23=3,E24&gt;F23),1)+IF(AND(J24=3,J25=3,G24&gt;F25),1)</f>
        <v>0</v>
      </c>
      <c r="L24" s="1305">
        <f>IF(AND(J24=1,J21=1),C24-F21)+IF(AND(J24=1,J22=1),D24-F22)+IF(AND(J24=1,J23=1),E24-F23)+IF(AND(J24=1,J25=1),G24-F25)+IF(AND(J24=2,J21=2),C24-F21)+IF(AND(J24=2,J22=2),D24-F22)+IF(AND(J24=2,J23=2),E24-F23)+IF(AND(J24=2,J25=2),G24-F25)+IF(AND(J24=3,J21=3),C24-F21)+IF(AND(J24=3,J22=3),D24-F22)+IF(AND(J24=3,J23=3),E24-F23)+IF(AND(J24=3,J25=3),G24-F25)</f>
        <v>0</v>
      </c>
      <c r="M24" s="515">
        <f t="shared" si="5"/>
        <v>0</v>
      </c>
      <c r="N24" s="668"/>
    </row>
    <row r="25" spans="1:14" s="498" customFormat="1" hidden="1" x14ac:dyDescent="0.2">
      <c r="A25" s="500">
        <v>5</v>
      </c>
      <c r="B25" s="521"/>
      <c r="C25" s="510"/>
      <c r="D25" s="510"/>
      <c r="E25" s="510"/>
      <c r="F25" s="510"/>
      <c r="G25" s="509"/>
      <c r="H25" s="511" t="str">
        <f>(IF(C25-G21&gt;0,1)+IF(D25-G22&gt;0,1)+IF(E25-G23&gt;0,1)+IF(F25-G24&gt;0,1))&amp;"-"&amp;(IF(C25-G21&lt;0,1)+IF(D25-G22&lt;0,1)+IF(E25-G23&lt;0,1)+IF(F25-G24&lt;0,1))</f>
        <v>0-0</v>
      </c>
      <c r="I25" s="510" t="str">
        <f>IF(AND(B25&lt;&gt;"",M$20=TRUE),A$20&amp;RANK(M25,M$21:M$25,0),"")</f>
        <v/>
      </c>
      <c r="J25" s="512">
        <f t="shared" si="4"/>
        <v>0</v>
      </c>
      <c r="K25" s="639">
        <f>IF(AND(J25=1,J21=1,C25&gt;G21),1)+IF(AND(J25=1,J22=1,D25&gt;G22),1)+IF(AND(J25=1,J23=1,E25&gt;G23),1)+IF(AND(J25=1,J24=1,F25&gt;G24),1)+IF(AND(J25=2,J21=2,C25&gt;G21),1)+IF(AND(J25=2,J22=2,D25&gt;G22),1)+IF(AND(J25=2,J23=2,E25&gt;G23),1)+IF(AND(J25=2,J24=2,F25&gt;G24),1)+IF(AND(J25=3,J21=3,C25&gt;G21),1)+IF(AND(J25=3,J22=3,D25&gt;G22),1)+IF(AND(J25=3,J23=3,E25&gt;G23),1)+IF(AND(J25=3,J24=3,F25&gt;G24),1)</f>
        <v>0</v>
      </c>
      <c r="L25" s="514">
        <f>IF(AND(J25=1,J21=1),C25-G21)+IF(AND(J25=1,J22=1),D25-G22)+IF(AND(J25=1,J23=1),E25-G23)+IF(AND(J25=1,J24=1),F25-G24)+IF(AND(J25=2,J21=2),C25-G21)+IF(AND(J25=2,J22=2),D25-G22)+IF(AND(J25=2,J23=2),E25-G23)+IF(AND(J25=2,J24=2),F25-G24)+IF(AND(J25=3,J21=3),C25-G21)+IF(AND(J25=3,J22=3),D25-G22)+IF(AND(J25=3,J23=3),E25-G23)+IF(AND(J25=3,J24=3),F25-G24)</f>
        <v>0</v>
      </c>
      <c r="M25" s="515">
        <f t="shared" si="5"/>
        <v>0</v>
      </c>
      <c r="N25" s="668"/>
    </row>
    <row r="26" spans="1:14" s="498" customFormat="1" hidden="1" x14ac:dyDescent="0.2">
      <c r="A26" s="538"/>
      <c r="B26" s="539"/>
      <c r="C26" s="540"/>
      <c r="D26" s="540"/>
      <c r="E26" s="540"/>
      <c r="F26" s="641"/>
      <c r="G26" s="641"/>
      <c r="H26" s="541"/>
      <c r="I26" s="542"/>
      <c r="J26" s="642"/>
      <c r="K26" s="530"/>
      <c r="L26" s="643"/>
      <c r="M26" s="642"/>
      <c r="N26" s="668"/>
    </row>
    <row r="27" spans="1:14" s="506" customFormat="1" hidden="1" x14ac:dyDescent="0.2">
      <c r="A27" s="500" t="s">
        <v>143</v>
      </c>
      <c r="B27" s="501"/>
      <c r="C27" s="502">
        <v>1</v>
      </c>
      <c r="D27" s="502">
        <v>2</v>
      </c>
      <c r="E27" s="502">
        <v>3</v>
      </c>
      <c r="F27" s="502">
        <v>4</v>
      </c>
      <c r="G27" s="502">
        <v>5</v>
      </c>
      <c r="H27" s="501" t="s">
        <v>363</v>
      </c>
      <c r="I27" s="501" t="s">
        <v>26</v>
      </c>
      <c r="J27" s="533" t="s">
        <v>156</v>
      </c>
      <c r="K27" s="504" t="s">
        <v>156</v>
      </c>
      <c r="L27" s="534" t="s">
        <v>364</v>
      </c>
      <c r="M27" s="535" t="b">
        <f>OR(AND(COUNTA(B28:B32)=3,COUNTA(C28:G32)=6),AND(COUNTA(B28:B32)=4,COUNTA(C28:G32)=12),AND(COUNTA(B28:B32)=5,COUNTA(C28:G32)=20))</f>
        <v>0</v>
      </c>
      <c r="N27" s="668"/>
    </row>
    <row r="28" spans="1:14" s="506" customFormat="1" hidden="1" x14ac:dyDescent="0.2">
      <c r="A28" s="500">
        <v>1</v>
      </c>
      <c r="B28" s="508"/>
      <c r="C28" s="509"/>
      <c r="D28" s="510"/>
      <c r="E28" s="510"/>
      <c r="F28" s="510"/>
      <c r="G28" s="510"/>
      <c r="H28" s="511" t="str">
        <f>(IF(D28-C29&gt;0,1)+IF(E28-C30&gt;0,1)+IF(F28-C31&gt;0,1)+IF(G28-C32&gt;0,1))&amp;"-"&amp;(IF(D28-C29&lt;0,1)+IF(E28-C30&lt;0,1)+IF(F28-C31&lt;0,1)+IF(G28-C32&lt;0,1))</f>
        <v>0-0</v>
      </c>
      <c r="I28" s="510" t="str">
        <f>IF(AND(B28&lt;&gt;"",M$27=TRUE),A$27&amp;RANK(M28,M$28:M$32,0),"")</f>
        <v/>
      </c>
      <c r="J28" s="512">
        <f>VALUE(LEFT(H28,1))</f>
        <v>0</v>
      </c>
      <c r="K28" s="513">
        <f>IF(AND(J28=1,J29=1,D28&gt;C29),1)+IF(AND(J28=1,J30=1,E28&gt;C30),1)+IF(AND(J28=1,J31=1,F28&gt;C31),1)+IF(AND(J28=1,J32=1,G28&gt;C32),1)+IF(AND(J28=2,J29=2,D28&gt;C29),1)+IF(AND(J28=2,J30=2,E28&gt;C30),1)+IF(AND(J28=2,J31=2,F28&gt;C31),1)+IF(AND(J28=2,J32=2,G28&gt;C32),1)+IF(AND(J28=3,J29=3,D28&gt;C29),1)+IF(AND(J28=3,J30=3,E28&gt;C30),1)+IF(AND(J28=3,J31=3,F28&gt;C31),1)+IF(AND(J28=3,J32=3,G28&gt;C32),1)</f>
        <v>0</v>
      </c>
      <c r="L28" s="1305">
        <f>IF(AND(J28=1,J29=1),D28-C29)+IF(AND(J28=1,J30=1),E28-C30)+IF(AND(J28=1,J31=1),F28-C31)+IF(AND(J28=1,J32=1),G28-C32)+IF(AND(J28=2,J29=2),D28-C29)+IF(AND(J28=2,J30=2),E28-C30)+IF(AND(J28=2,J31=2),F28-C31)+IF(AND(J28=2,J32=2),G28-C32)+IF(AND(J28=3,J29=3),D28-C29)+IF(AND(J28=3,J30=3),E28-C30)+IF(AND(J28=3,J31=3),F28-C31)+IF(AND(J28=3,J32=3),G28-C32)</f>
        <v>0</v>
      </c>
      <c r="M28" s="515">
        <f>10000*J28+K28*100+L28</f>
        <v>0</v>
      </c>
      <c r="N28" s="668"/>
    </row>
    <row r="29" spans="1:14" s="506" customFormat="1" hidden="1" x14ac:dyDescent="0.2">
      <c r="A29" s="500">
        <v>2</v>
      </c>
      <c r="B29" s="518"/>
      <c r="C29" s="510"/>
      <c r="D29" s="509"/>
      <c r="E29" s="510"/>
      <c r="F29" s="510"/>
      <c r="G29" s="510"/>
      <c r="H29" s="511" t="str">
        <f>(IF(C29-D28&gt;0,1)+IF(E29-D30&gt;0,1)+IF(F29-D31&gt;0,1)+IF(G29-D32&gt;0,1))&amp;"-"&amp;(IF(C29-D28&lt;0,1)+IF(E29-D30&lt;0,1)+IF(F29-D31&lt;0,1)+IF(G29-D32&lt;0,1))</f>
        <v>0-0</v>
      </c>
      <c r="I29" s="510" t="str">
        <f>IF(AND(B29&lt;&gt;"",M$27=TRUE),A$27&amp;RANK(M29,M$28:M$32,0),"")</f>
        <v/>
      </c>
      <c r="J29" s="512">
        <f t="shared" ref="J29:J32" si="6">VALUE(LEFT(H29,1))</f>
        <v>0</v>
      </c>
      <c r="K29" s="639">
        <f>IF(AND(J29=1,J28=1,C29&gt;D28),1)+IF(AND(J29=1,J30=1,E29&gt;D30),1)+IF(AND(J29=1,J31=1,F29&gt;D31),1)+IF(AND(J29=1,J32=1,G29&gt;D32),1)+IF(AND(J29=2,J28=2,C29&gt;D28),1)+IF(AND(J29=2,J30=2,E29&gt;D30),1)+IF(AND(J29=2,J31=2,F29&gt;D31),1)+IF(AND(J29=2,J32=2,G29&gt;D32),1)+IF(AND(J29=3,J28=3,C29&gt;D28),1)+IF(AND(J29=3,J30=3,E29&gt;D30),1)+IF(AND(J29=3,J31=3,F29&gt;D31),1)+IF(AND(J29=3,J32=3,G29&gt;D32),1)</f>
        <v>0</v>
      </c>
      <c r="L29" s="1305">
        <f>IF(AND(J29=1,J28=1),C29-D28)+IF(AND(J29=1,J30=1),E29-D30)+IF(AND(J29=1,J31=1),F29-D31)+IF(AND(J29=1,J32=1),G29-D32)+IF(AND(J29=2,J28=2),C29-D28)+IF(AND(J29=2,J30=2),E29-D30)+IF(AND(J29=2,J31=2),F29-D31)+IF(AND(J29=2,J32=2),G29-D32)+IF(AND(J29=3,J28=3),C29-D28)+IF(AND(J29=3,J30=3),E29-D30)+IF(AND(J29=3,J31=3),F29-D31)+IF(AND(J29=3,J32=3),G29-D32)</f>
        <v>0</v>
      </c>
      <c r="M29" s="515">
        <f t="shared" ref="M29:M32" si="7">10000*J29+K29*100+L29</f>
        <v>0</v>
      </c>
      <c r="N29" s="668"/>
    </row>
    <row r="30" spans="1:14" s="506" customFormat="1" hidden="1" x14ac:dyDescent="0.2">
      <c r="A30" s="500">
        <v>3</v>
      </c>
      <c r="B30" s="518"/>
      <c r="C30" s="510"/>
      <c r="D30" s="520"/>
      <c r="E30" s="509"/>
      <c r="F30" s="510"/>
      <c r="G30" s="510"/>
      <c r="H30" s="511" t="str">
        <f>(IF(C30-E28&gt;0,1)+IF(D30-E29&gt;0,1)+IF(F30-E31&gt;0,1)+IF(G30-E32&gt;0,1))&amp;"-"&amp;(IF(C30-E28&lt;0,1)+IF(D30-E29&lt;0,1)+IF(F30-E31&lt;0,1)+IF(G30-E32&lt;0,1))</f>
        <v>0-0</v>
      </c>
      <c r="I30" s="510" t="str">
        <f>IF(AND(B30&lt;&gt;"",M$27=TRUE),A$27&amp;RANK(M30,M$28:M$32,0),"")</f>
        <v/>
      </c>
      <c r="J30" s="512">
        <f t="shared" si="6"/>
        <v>0</v>
      </c>
      <c r="K30" s="639">
        <f>IF(AND(J30=1,J28=1,C30&gt;E28),1)+IF(AND(J30=1,J29=1,D30&gt;E29),1)+IF(AND(J30=1,J31=1,F30&gt;E31),1)+IF(AND(J30=1,J32=1,G30&gt;E32),1)+IF(AND(J30=2,J28=2,C30&gt;E28),1)+IF(AND(J30=2,J29=2,D30&gt;E29),1)+IF(AND(J30=2,J31=2,F30&gt;E31),1)+IF(AND(J30=2,J32=2,G30&gt;E32),1)+IF(AND(J30=3,J28=3,C30&gt;E28),1)+IF(AND(J30=3,J29=3,D30&gt;E29),1)+IF(AND(J30=3,J31=3,F30&gt;E31),1)+IF(AND(J30=3,J32=3,G30&gt;E32),1)</f>
        <v>0</v>
      </c>
      <c r="L30" s="1305">
        <f>IF(AND(J30=1,J28=1),C30-E28)+IF(AND(J30=1,J29=1),D30-E29)+IF(AND(J30=1,J31=1),F30-E31)+IF(AND(J30=1,J32=1),G30-E32)+IF(AND(J30=2,J28=2),C30-E28)+IF(AND(J30=2,J29=2),D30-E29)+IF(AND(J30=2,J31=2),F30-E31)+IF(AND(J30=2,J32=2),G30-E32)+IF(AND(J30=3,J28=3),C30-E28)+IF(AND(J30=3,J29=3),D30-E29)+IF(AND(J30=3,J31=3),F30-E31)+IF(AND(J30=3,J32=3),G30-E32)</f>
        <v>0</v>
      </c>
      <c r="M30" s="515">
        <f t="shared" si="7"/>
        <v>0</v>
      </c>
      <c r="N30" s="668"/>
    </row>
    <row r="31" spans="1:14" s="506" customFormat="1" hidden="1" x14ac:dyDescent="0.2">
      <c r="A31" s="500">
        <v>4</v>
      </c>
      <c r="B31" s="521"/>
      <c r="C31" s="510"/>
      <c r="D31" s="520"/>
      <c r="E31" s="510"/>
      <c r="F31" s="509"/>
      <c r="G31" s="522"/>
      <c r="H31" s="511" t="str">
        <f>(IF(C31-F28&gt;0,1)+IF(D31-F29&gt;0,1)+IF(E31-F30&gt;0,1)+IF(G31-F32&gt;0,1))&amp;"-"&amp;(IF(C31-F28&lt;0,1)+IF(D31-F29&lt;0,1)+IF(E31-F30&lt;0,1)+IF(G31-F32&lt;0,1))</f>
        <v>0-0</v>
      </c>
      <c r="I31" s="510" t="str">
        <f>IF(AND(B31&lt;&gt;"",M$27=TRUE),A$27&amp;RANK(M31,M$28:M$32,0),"")</f>
        <v/>
      </c>
      <c r="J31" s="512">
        <f t="shared" si="6"/>
        <v>0</v>
      </c>
      <c r="K31" s="639">
        <f>IF(AND(J31=1,J28=1,C31&gt;F28),1)+IF(AND(J31=1,J29=1,D31&gt;F29),1)+IF(AND(J31=1,J30=1,E31&gt;F30),1)+IF(AND(J31=1,J32=1,G31&gt;F32),1)+IF(AND(J31=2,J28=2,C31&gt;F28),1)+IF(AND(J31=2,J29=2,D31&gt;F29),1)+IF(AND(J31=2,J30=2,E31&gt;F30),1)+IF(AND(J31=2,J32=2,G31&gt;F32),1)+IF(AND(J31=3,J28=3,C31&gt;F28),1)+IF(AND(J31=3,J29=3,D31&gt;F29),1)+IF(AND(J31=3,J30=3,E31&gt;F30),1)+IF(AND(J31=3,J32=3,G31&gt;F32),1)</f>
        <v>0</v>
      </c>
      <c r="L31" s="1305">
        <f>IF(AND(J31=1,J28=1),C31-F28)+IF(AND(J31=1,J29=1),D31-F29)+IF(AND(J31=1,J30=1),E31-F30)+IF(AND(J31=1,J32=1),G31-F32)+IF(AND(J31=2,J28=2),C31-F28)+IF(AND(J31=2,J29=2),D31-F29)+IF(AND(J31=2,J30=2),E31-F30)+IF(AND(J31=2,J32=2),G31-F32)+IF(AND(J31=3,J28=3),C31-F28)+IF(AND(J31=3,J29=3),D31-F29)+IF(AND(J31=3,J30=3),E31-F30)+IF(AND(J31=3,J32=3),G31-F32)</f>
        <v>0</v>
      </c>
      <c r="M31" s="515">
        <f t="shared" si="7"/>
        <v>0</v>
      </c>
      <c r="N31" s="668"/>
    </row>
    <row r="32" spans="1:14" s="506" customFormat="1" hidden="1" x14ac:dyDescent="0.2">
      <c r="A32" s="500">
        <v>5</v>
      </c>
      <c r="B32" s="521"/>
      <c r="C32" s="510"/>
      <c r="D32" s="510"/>
      <c r="E32" s="510"/>
      <c r="F32" s="510"/>
      <c r="G32" s="509"/>
      <c r="H32" s="511" t="str">
        <f>(IF(C32-G28&gt;0,1)+IF(D32-G29&gt;0,1)+IF(E32-G30&gt;0,1)+IF(F32-G31&gt;0,1))&amp;"-"&amp;(IF(C32-G28&lt;0,1)+IF(D32-G29&lt;0,1)+IF(E32-G30&lt;0,1)+IF(F32-G31&lt;0,1))</f>
        <v>0-0</v>
      </c>
      <c r="I32" s="510" t="str">
        <f>IF(AND(B32&lt;&gt;"",M$27=TRUE),A$27&amp;RANK(M32,M$28:M$32,0),"")</f>
        <v/>
      </c>
      <c r="J32" s="512">
        <f t="shared" si="6"/>
        <v>0</v>
      </c>
      <c r="K32" s="639">
        <f>IF(AND(J32=1,J28=1,C32&gt;G28),1)+IF(AND(J32=1,J29=1,D32&gt;G29),1)+IF(AND(J32=1,J30=1,E32&gt;G30),1)+IF(AND(J32=1,J31=1,F32&gt;G31),1)+IF(AND(J32=2,J28=2,C32&gt;G28),1)+IF(AND(J32=2,J29=2,D32&gt;G29),1)+IF(AND(J32=2,J30=2,E32&gt;G30),1)+IF(AND(J32=2,J31=2,F32&gt;G31),1)+IF(AND(J32=3,J28=3,C32&gt;G28),1)+IF(AND(J32=3,J29=3,D32&gt;G29),1)+IF(AND(J32=3,J30=3,E32&gt;G30),1)+IF(AND(J32=3,J31=3,F32&gt;G31),1)</f>
        <v>0</v>
      </c>
      <c r="L32" s="1305">
        <f>IF(AND(J32=1,J28=1),C32-G28)+IF(AND(J32=1,J29=1),D32-G29)+IF(AND(J32=1,J30=1),E32-G30)+IF(AND(J32=1,J31=1),F32-G31)+IF(AND(J32=2,J28=2),C32-G28)+IF(AND(J32=2,J29=2),D32-G29)+IF(AND(J32=2,J30=2),E32-G30)+IF(AND(J32=2,J31=2),F32-G31)+IF(AND(J32=3,J28=3),C32-G28)+IF(AND(J32=3,J29=3),D32-G29)+IF(AND(J32=3,J30=3),E32-G30)+IF(AND(J32=3,J31=3),F32-G31)</f>
        <v>0</v>
      </c>
      <c r="M32" s="515">
        <f t="shared" si="7"/>
        <v>0</v>
      </c>
      <c r="N32" s="668"/>
    </row>
    <row r="33" spans="1:14" s="506" customFormat="1" hidden="1" x14ac:dyDescent="0.2">
      <c r="A33" s="523"/>
      <c r="F33" s="545"/>
      <c r="H33" s="546"/>
      <c r="I33" s="547"/>
      <c r="J33" s="535"/>
      <c r="K33" s="542"/>
      <c r="L33" s="548"/>
      <c r="M33" s="535"/>
      <c r="N33" s="668"/>
    </row>
    <row r="34" spans="1:14" s="506" customFormat="1" hidden="1" x14ac:dyDescent="0.2">
      <c r="A34" s="500" t="s">
        <v>144</v>
      </c>
      <c r="B34" s="501"/>
      <c r="C34" s="502">
        <v>1</v>
      </c>
      <c r="D34" s="502">
        <v>2</v>
      </c>
      <c r="E34" s="502">
        <v>3</v>
      </c>
      <c r="F34" s="502">
        <v>4</v>
      </c>
      <c r="G34" s="502">
        <v>5</v>
      </c>
      <c r="H34" s="502" t="s">
        <v>363</v>
      </c>
      <c r="I34" s="501" t="s">
        <v>26</v>
      </c>
      <c r="J34" s="503" t="s">
        <v>156</v>
      </c>
      <c r="K34" s="504" t="s">
        <v>156</v>
      </c>
      <c r="L34" s="505" t="s">
        <v>364</v>
      </c>
      <c r="M34" s="506" t="b">
        <f>OR(AND(COUNTA(B35:B39)=3,COUNTA(C35:G39)=6),AND(COUNTA(B35:B39)=4,COUNTA(C35:G39)=12),AND(COUNTA(B35:B39)=5,COUNTA(C35:G39)=20))</f>
        <v>0</v>
      </c>
      <c r="N34" s="668"/>
    </row>
    <row r="35" spans="1:14" s="506" customFormat="1" hidden="1" x14ac:dyDescent="0.2">
      <c r="A35" s="500">
        <v>1</v>
      </c>
      <c r="B35" s="508"/>
      <c r="C35" s="509"/>
      <c r="D35" s="510"/>
      <c r="E35" s="510"/>
      <c r="F35" s="510"/>
      <c r="G35" s="510"/>
      <c r="H35" s="511" t="str">
        <f>(IF(D35-C36&gt;0,1)+IF(E35-C37&gt;0,1)+IF(F35-C38&gt;0,1)+IF(G35-C39&gt;0,1))&amp;"-"&amp;(IF(D35-C36&lt;0,1)+IF(E35-C37&lt;0,1)+IF(F35-C38&lt;0,1)+IF(G35-C39&lt;0,1))</f>
        <v>0-0</v>
      </c>
      <c r="I35" s="510" t="str">
        <f>IF(AND(B35&lt;&gt;"",M$35=TRUE),A$35&amp;RANK(M35,M$36:M$40,0),"")</f>
        <v/>
      </c>
      <c r="J35" s="512">
        <f>VALUE(LEFT(H35,1))</f>
        <v>0</v>
      </c>
      <c r="K35" s="513">
        <f>IF(AND(J35=1,J36=1,D35&gt;C36),1)+IF(AND(J35=1,J37=1,E35&gt;C37),1)+IF(AND(J35=1,J38=1,F35&gt;C38),1)+IF(AND(J35=1,J39=1,G35&gt;C39),1)+IF(AND(J35=2,J36=2,D35&gt;C36),1)+IF(AND(J35=2,J37=2,E35&gt;C37),1)+IF(AND(J35=2,J38=2,F35&gt;C38),1)+IF(AND(J35=2,J39=2,G35&gt;C39),1)+IF(AND(J35=3,J36=3,D35&gt;C36),1)+IF(AND(J35=3,J37=3,E35&gt;C37),1)+IF(AND(J35=3,J38=3,F35&gt;C38),1)+IF(AND(J35=3,J39=3,G35&gt;C39),1)</f>
        <v>0</v>
      </c>
      <c r="L35" s="1305">
        <f>IF(AND(J35=1,J36=1),D35-C36)+IF(AND(J35=1,J37=1),E35-C37)+IF(AND(J35=1,J38=1),F35-C38)+IF(AND(J35=1,J39=1),G35-C39)+IF(AND(J35=2,J36=2),D35-C36)+IF(AND(J35=2,J37=2),E35-C37)+IF(AND(J35=2,J38=2),F35-C38)+IF(AND(J35=2,J39=2),G35-C39)+IF(AND(J35=3,J36=3),D35-C36)+IF(AND(J35=3,J37=3),E35-C37)+IF(AND(J35=3,J38=3),F35-C38)+IF(AND(J35=3,J39=3),G35-C39)</f>
        <v>0</v>
      </c>
      <c r="M35" s="515">
        <f>10000*J35+K35*100+L35</f>
        <v>0</v>
      </c>
      <c r="N35" s="668"/>
    </row>
    <row r="36" spans="1:14" s="506" customFormat="1" hidden="1" x14ac:dyDescent="0.2">
      <c r="A36" s="500">
        <v>2</v>
      </c>
      <c r="B36" s="518"/>
      <c r="C36" s="510"/>
      <c r="D36" s="509"/>
      <c r="E36" s="510"/>
      <c r="F36" s="510"/>
      <c r="G36" s="510"/>
      <c r="H36" s="511" t="str">
        <f>(IF(C36-D35&gt;0,1)+IF(E36-D37&gt;0,1)+IF(F36-D38&gt;0,1)+IF(G36-D39&gt;0,1))&amp;"-"&amp;(IF(C36-D35&lt;0,1)+IF(E36-D37&lt;0,1)+IF(F36-D38&lt;0,1)+IF(G36-D39&lt;0,1))</f>
        <v>0-0</v>
      </c>
      <c r="I36" s="510" t="str">
        <f>IF(AND(B36&lt;&gt;"",M$35=TRUE),A$35&amp;RANK(M36,M$36:M$40,0),"")</f>
        <v/>
      </c>
      <c r="J36" s="512">
        <f t="shared" ref="J36:J39" si="8">VALUE(LEFT(H36,1))</f>
        <v>0</v>
      </c>
      <c r="K36" s="639">
        <f>IF(AND(J36=1,J35=1,C36&gt;D35),1)+IF(AND(J36=1,J37=1,E36&gt;D37),1)+IF(AND(J36=1,J38=1,F36&gt;D38),1)+IF(AND(J36=1,J39=1,G36&gt;D39),1)+IF(AND(J36=2,J35=2,C36&gt;D35),1)+IF(AND(J36=2,J37=2,E36&gt;D37),1)+IF(AND(J36=2,J38=2,F36&gt;D38),1)+IF(AND(J36=2,J39=2,G36&gt;D39),1)+IF(AND(J36=3,J35=3,C36&gt;D35),1)+IF(AND(J36=3,J37=3,E36&gt;D37),1)+IF(AND(J36=3,J38=3,F36&gt;D38),1)+IF(AND(J36=3,J39=3,G36&gt;D39),1)</f>
        <v>0</v>
      </c>
      <c r="L36" s="1305">
        <f>IF(AND(J36=1,J35=1),C36-D35)+IF(AND(J36=1,J37=1),E36-D37)+IF(AND(J36=1,J38=1),F36-D38)+IF(AND(J36=1,J39=1),G36-D39)+IF(AND(J36=2,J35=2),C36-D35)+IF(AND(J36=2,J37=2),E36-D37)+IF(AND(J36=2,J38=2),F36-D38)+IF(AND(J36=2,J39=2),G36-D39)+IF(AND(J36=3,J35=3),C36-D35)+IF(AND(J36=3,J37=3),E36-D37)+IF(AND(J36=3,J38=3),F36-D38)+IF(AND(J36=3,J39=3),G36-D39)</f>
        <v>0</v>
      </c>
      <c r="M36" s="515">
        <f t="shared" ref="M36:M39" si="9">10000*J36+K36*100+L36</f>
        <v>0</v>
      </c>
      <c r="N36" s="668"/>
    </row>
    <row r="37" spans="1:14" s="506" customFormat="1" hidden="1" x14ac:dyDescent="0.2">
      <c r="A37" s="500">
        <v>3</v>
      </c>
      <c r="B37" s="518"/>
      <c r="C37" s="510"/>
      <c r="D37" s="520"/>
      <c r="E37" s="509"/>
      <c r="F37" s="510"/>
      <c r="G37" s="510"/>
      <c r="H37" s="511" t="str">
        <f>(IF(C37-E35&gt;0,1)+IF(D37-E36&gt;0,1)+IF(F37-E38&gt;0,1)+IF(G37-E39&gt;0,1))&amp;"-"&amp;(IF(C37-E35&lt;0,1)+IF(D37-E36&lt;0,1)+IF(F37-E38&lt;0,1)+IF(G37-E39&lt;0,1))</f>
        <v>0-0</v>
      </c>
      <c r="I37" s="510" t="str">
        <f>IF(AND(B37&lt;&gt;"",M$35=TRUE),A$35&amp;RANK(M37,M$36:M$40,0),"")</f>
        <v/>
      </c>
      <c r="J37" s="512">
        <f t="shared" si="8"/>
        <v>0</v>
      </c>
      <c r="K37" s="639">
        <f>IF(AND(J37=1,J35=1,C37&gt;E35),1)+IF(AND(J37=1,J36=1,D37&gt;E36),1)+IF(AND(J37=1,J38=1,F37&gt;E38),1)+IF(AND(J37=1,J39=1,G37&gt;E39),1)+IF(AND(J37=2,J35=2,C37&gt;E35),1)+IF(AND(J37=2,J36=2,D37&gt;E36),1)+IF(AND(J37=2,J38=2,F37&gt;E38),1)+IF(AND(J37=2,J39=2,G37&gt;E39),1)+IF(AND(J37=3,J35=3,C37&gt;E35),1)+IF(AND(J37=3,J36=3,D37&gt;E36),1)+IF(AND(J37=3,J38=3,F37&gt;E38),1)+IF(AND(J37=3,J39=3,G37&gt;E39),1)</f>
        <v>0</v>
      </c>
      <c r="L37" s="1305">
        <f>IF(AND(J37=1,J35=1),C37-E35)+IF(AND(J37=1,J36=1),D37-E36)+IF(AND(J37=1,J38=1),F37-E38)+IF(AND(J37=1,J39=1),G37-E39)+IF(AND(J37=2,J35=2),C37-E35)+IF(AND(J37=2,J36=2),D37-E36)+IF(AND(J37=2,J38=2),F37-E38)+IF(AND(J37=2,J39=2),G37-E39)+IF(AND(J37=3,J35=3),C37-E35)+IF(AND(J37=3,J36=3),D37-E36)+IF(AND(J37=3,J38=3),F37-E38)+IF(AND(J37=3,J39=3),G37-E39)</f>
        <v>0</v>
      </c>
      <c r="M37" s="515">
        <f t="shared" si="9"/>
        <v>0</v>
      </c>
      <c r="N37" s="668"/>
    </row>
    <row r="38" spans="1:14" s="506" customFormat="1" hidden="1" x14ac:dyDescent="0.2">
      <c r="A38" s="500">
        <v>4</v>
      </c>
      <c r="B38" s="521"/>
      <c r="C38" s="510"/>
      <c r="D38" s="520"/>
      <c r="E38" s="510"/>
      <c r="F38" s="509"/>
      <c r="G38" s="522"/>
      <c r="H38" s="511" t="str">
        <f>(IF(C38-F35&gt;0,1)+IF(D38-F36&gt;0,1)+IF(E38-F37&gt;0,1)+IF(G38-F39&gt;0,1))&amp;"-"&amp;(IF(C38-F35&lt;0,1)+IF(D38-F36&lt;0,1)+IF(E38-F37&lt;0,1)+IF(G38-F39&lt;0,1))</f>
        <v>0-0</v>
      </c>
      <c r="I38" s="510" t="str">
        <f>IF(AND(B38&lt;&gt;"",M$35=TRUE),A$35&amp;RANK(M38,M$36:M$40,0),"")</f>
        <v/>
      </c>
      <c r="J38" s="512">
        <f t="shared" si="8"/>
        <v>0</v>
      </c>
      <c r="K38" s="639">
        <f>IF(AND(J38=1,J35=1,C38&gt;F35),1)+IF(AND(J38=1,J36=1,D38&gt;F36),1)+IF(AND(J38=1,J37=1,E38&gt;F37),1)+IF(AND(J38=1,J39=1,G38&gt;F39),1)+IF(AND(J38=2,J35=2,C38&gt;F35),1)+IF(AND(J38=2,J36=2,D38&gt;F36),1)+IF(AND(J38=2,J37=2,E38&gt;F37),1)+IF(AND(J38=2,J39=2,G38&gt;F39),1)+IF(AND(J38=3,J35=3,C38&gt;F35),1)+IF(AND(J38=3,J36=3,D38&gt;F36),1)+IF(AND(J38=3,J37=3,E38&gt;F37),1)+IF(AND(J38=3,J39=3,G38&gt;F39),1)</f>
        <v>0</v>
      </c>
      <c r="L38" s="1305">
        <f>IF(AND(J38=1,J35=1),C38-F35)+IF(AND(J38=1,J36=1),D38-F36)+IF(AND(J38=1,J37=1),E38-F37)+IF(AND(J38=1,J39=1),G38-F39)+IF(AND(J38=2,J35=2),C38-F35)+IF(AND(J38=2,J36=2),D38-F36)+IF(AND(J38=2,J37=2),E38-F37)+IF(AND(J38=2,J39=2),G38-F39)+IF(AND(J38=3,J35=3),C38-F35)+IF(AND(J38=3,J36=3),D38-F36)+IF(AND(J38=3,J37=3),E38-F37)+IF(AND(J38=3,J39=3),G38-F39)</f>
        <v>0</v>
      </c>
      <c r="M38" s="515">
        <f t="shared" si="9"/>
        <v>0</v>
      </c>
      <c r="N38" s="668"/>
    </row>
    <row r="39" spans="1:14" s="506" customFormat="1" hidden="1" x14ac:dyDescent="0.2">
      <c r="A39" s="500">
        <v>5</v>
      </c>
      <c r="B39" s="521"/>
      <c r="C39" s="510"/>
      <c r="D39" s="510"/>
      <c r="E39" s="510"/>
      <c r="F39" s="510"/>
      <c r="G39" s="509"/>
      <c r="H39" s="511" t="str">
        <f>(IF(C39-G35&gt;0,1)+IF(D39-G36&gt;0,1)+IF(E39-G37&gt;0,1)+IF(F39-G38&gt;0,1))&amp;"-"&amp;(IF(C39-G35&lt;0,1)+IF(D39-G36&lt;0,1)+IF(E39-G37&lt;0,1)+IF(F39-G38&lt;0,1))</f>
        <v>0-0</v>
      </c>
      <c r="I39" s="510" t="str">
        <f>IF(AND(B39&lt;&gt;"",M$35=TRUE),A$35&amp;RANK(M39,M$36:M$40,0),"")</f>
        <v/>
      </c>
      <c r="J39" s="512">
        <f t="shared" si="8"/>
        <v>0</v>
      </c>
      <c r="K39" s="639">
        <f>IF(AND(J39=1,J35=1,C39&gt;G35),1)+IF(AND(J39=1,J36=1,D39&gt;G36),1)+IF(AND(J39=1,J37=1,E39&gt;G37),1)+IF(AND(J39=1,J38=1,F39&gt;G38),1)+IF(AND(J39=2,J35=2,C39&gt;G35),1)+IF(AND(J39=2,J36=2,D39&gt;G36),1)+IF(AND(J39=2,J37=2,E39&gt;G37),1)+IF(AND(J39=2,J38=2,F39&gt;G38),1)+IF(AND(J39=3,J35=3,C39&gt;G35),1)+IF(AND(J39=3,J36=3,D39&gt;G36),1)+IF(AND(J39=3,J37=3,E39&gt;G37),1)+IF(AND(J39=3,J38=3,F39&gt;G38),1)</f>
        <v>0</v>
      </c>
      <c r="L39" s="1305">
        <f>IF(AND(J39=1,J35=1),C39-G35)+IF(AND(J39=1,J36=1),D39-G36)+IF(AND(J39=1,J37=1),E39-G37)+IF(AND(J39=1,J38=1),F39-G38)+IF(AND(J39=2,J35=2),C39-G35)+IF(AND(J39=2,J36=2),D39-G36)+IF(AND(J39=2,J37=2),E39-G37)+IF(AND(J39=2,J38=2),F39-G38)+IF(AND(J39=3,J35=3),C39-G35)+IF(AND(J39=3,J36=3),D39-G36)+IF(AND(J39=3,J37=3),E39-G37)+IF(AND(J39=3,J38=3),F39-G38)</f>
        <v>0</v>
      </c>
      <c r="M39" s="515">
        <f t="shared" si="9"/>
        <v>0</v>
      </c>
      <c r="N39" s="668"/>
    </row>
    <row r="40" spans="1:14" s="506" customFormat="1" hidden="1" x14ac:dyDescent="0.2">
      <c r="A40" s="523"/>
      <c r="B40" s="524"/>
      <c r="C40" s="525"/>
      <c r="D40" s="526"/>
      <c r="E40" s="525"/>
      <c r="F40" s="527"/>
      <c r="H40" s="528"/>
      <c r="I40" s="529"/>
      <c r="J40" s="496"/>
      <c r="K40" s="530"/>
      <c r="L40" s="531"/>
      <c r="M40" s="496"/>
      <c r="N40" s="668"/>
    </row>
    <row r="41" spans="1:14" s="498" customFormat="1" hidden="1" x14ac:dyDescent="0.2">
      <c r="A41" s="500" t="s">
        <v>145</v>
      </c>
      <c r="B41" s="501"/>
      <c r="C41" s="502">
        <v>1</v>
      </c>
      <c r="D41" s="502">
        <v>2</v>
      </c>
      <c r="E41" s="502">
        <v>3</v>
      </c>
      <c r="F41" s="502">
        <v>4</v>
      </c>
      <c r="G41" s="502"/>
      <c r="H41" s="501" t="s">
        <v>363</v>
      </c>
      <c r="I41" s="501" t="s">
        <v>26</v>
      </c>
      <c r="J41" s="533" t="s">
        <v>156</v>
      </c>
      <c r="K41" s="504" t="s">
        <v>156</v>
      </c>
      <c r="L41" s="534" t="s">
        <v>364</v>
      </c>
      <c r="M41" s="535" t="b">
        <f>OR(AND(COUNTA(B42:B46)=3,COUNTA(C42:G46)=6),AND(COUNTA(B42:B46)=4,COUNTA(C42:G46)=12),AND(COUNTA(B42:B46)=5,COUNTA(C42:G46)=20))</f>
        <v>0</v>
      </c>
      <c r="N41" s="668"/>
    </row>
    <row r="42" spans="1:14" s="498" customFormat="1" hidden="1" x14ac:dyDescent="0.2">
      <c r="A42" s="500">
        <v>1</v>
      </c>
      <c r="B42" s="508"/>
      <c r="C42" s="509"/>
      <c r="D42" s="510"/>
      <c r="E42" s="510"/>
      <c r="F42" s="510"/>
      <c r="G42" s="510"/>
      <c r="H42" s="511" t="str">
        <f>(IF(D42-C43&gt;0,1)+IF(E42-C44&gt;0,1)+IF(F42-C45&gt;0,1)+IF(G42-C46&gt;0,1))&amp;"-"&amp;(IF(D42-C43&lt;0,1)+IF(E42-C44&lt;0,1)+IF(F42-C45&lt;0,1)+IF(G42-C46&lt;0,1))</f>
        <v>0-0</v>
      </c>
      <c r="I42" s="510" t="str">
        <f>IF(AND(B42&lt;&gt;"",M$42=TRUE),A$42&amp;RANK(M42,M$43:VM$47,0),"")</f>
        <v/>
      </c>
      <c r="J42" s="512">
        <f>VALUE(LEFT(H42,1))</f>
        <v>0</v>
      </c>
      <c r="K42" s="513">
        <f>IF(AND(J42=1,J43=1,D42&gt;C43),1)+IF(AND(J42=1,J44=1,E42&gt;C44),1)+IF(AND(J42=1,J45=1,F42&gt;C45),1)+IF(AND(J42=1,J46=1,G42&gt;C46),1)+IF(AND(J42=2,J43=2,D42&gt;C43),1)+IF(AND(J42=2,J44=2,E42&gt;C44),1)+IF(AND(J42=2,J45=2,F42&gt;C45),1)+IF(AND(J42=2,J46=2,G42&gt;C46),1)+IF(AND(J42=3,J43=3,D42&gt;C43),1)+IF(AND(J42=3,J44=3,E42&gt;C44),1)+IF(AND(J42=3,J45=3,F42&gt;C45),1)+IF(AND(J42=3,J46=3,G42&gt;C46),1)</f>
        <v>0</v>
      </c>
      <c r="L42" s="1305">
        <f>IF(AND(J42=1,J43=1),D42-C43)+IF(AND(J42=1,J44=1),E42-C44)+IF(AND(J42=1,J45=1),F42-C45)+IF(AND(J42=1,J46=1),G42-C46)+IF(AND(J42=2,J43=2),D42-C43)+IF(AND(J42=2,J44=2),E42-C44)+IF(AND(J42=2,J45=2),F42-C45)+IF(AND(J42=2,J46=2),G42-C46)+IF(AND(J42=3,J43=3),D42-C43)+IF(AND(J42=3,J44=3),E42-C44)+IF(AND(J42=3,J45=3),F42-C45)+IF(AND(J42=3,J46=3),G42-C46)</f>
        <v>0</v>
      </c>
      <c r="M42" s="515">
        <f>10000*J42+K42*100+L42</f>
        <v>0</v>
      </c>
      <c r="N42" s="668"/>
    </row>
    <row r="43" spans="1:14" s="498" customFormat="1" hidden="1" x14ac:dyDescent="0.2">
      <c r="A43" s="500">
        <v>2</v>
      </c>
      <c r="B43" s="518"/>
      <c r="C43" s="510"/>
      <c r="D43" s="509"/>
      <c r="E43" s="510"/>
      <c r="F43" s="510"/>
      <c r="G43" s="510"/>
      <c r="H43" s="511" t="str">
        <f>(IF(C43-D42&gt;0,1)+IF(E43-D44&gt;0,1)+IF(F43-D45&gt;0,1)+IF(G43-D46&gt;0,1))&amp;"-"&amp;(IF(C43-D42&lt;0,1)+IF(E43-D44&lt;0,1)+IF(F43-D45&lt;0,1)+IF(G43-D46&lt;0,1))</f>
        <v>0-0</v>
      </c>
      <c r="I43" s="510" t="str">
        <f>IF(AND(B43&lt;&gt;"",M$42=TRUE),A$42&amp;RANK(M43,M$43:VM$47,0),"")</f>
        <v/>
      </c>
      <c r="J43" s="512">
        <f t="shared" ref="J43:J46" si="10">VALUE(LEFT(H43,1))</f>
        <v>0</v>
      </c>
      <c r="K43" s="639">
        <f>IF(AND(J43=1,J42=1,C43&gt;D42),1)+IF(AND(J43=1,J44=1,E43&gt;D44),1)+IF(AND(J43=1,J45=1,F43&gt;D45),1)+IF(AND(J43=1,J46=1,G43&gt;D46),1)+IF(AND(J43=2,J42=2,C43&gt;D42),1)+IF(AND(J43=2,J44=2,E43&gt;D44),1)+IF(AND(J43=2,J45=2,F43&gt;D45),1)+IF(AND(J43=2,J46=2,G43&gt;D46),1)+IF(AND(J43=3,J42=3,C43&gt;D42),1)+IF(AND(J43=3,J44=3,E43&gt;D44),1)+IF(AND(J43=3,J45=3,F43&gt;D45),1)+IF(AND(J43=3,J46=3,G43&gt;D46),1)</f>
        <v>0</v>
      </c>
      <c r="L43" s="1305">
        <f>IF(AND(J43=1,J42=1),C43-D42)+IF(AND(J43=1,J44=1),E43-D44)+IF(AND(J43=1,J45=1),F43-D45)+IF(AND(J43=1,J46=1),G43-D46)+IF(AND(J43=2,J42=2),C43-D42)+IF(AND(J43=2,J44=2),E43-D44)+IF(AND(J43=2,J45=2),F43-D45)+IF(AND(J43=2,J46=2),G43-D46)+IF(AND(J43=3,J42=3),C43-D42)+IF(AND(J43=3,J44=3),E43-D44)+IF(AND(J43=3,J45=3),F43-D45)+IF(AND(J43=3,J46=3),G43-D46)</f>
        <v>0</v>
      </c>
      <c r="M43" s="515">
        <f t="shared" ref="M43:M46" si="11">10000*J43+K43*100+L43</f>
        <v>0</v>
      </c>
      <c r="N43" s="668"/>
    </row>
    <row r="44" spans="1:14" s="498" customFormat="1" hidden="1" x14ac:dyDescent="0.2">
      <c r="A44" s="500">
        <v>3</v>
      </c>
      <c r="B44" s="518"/>
      <c r="C44" s="510"/>
      <c r="D44" s="520"/>
      <c r="E44" s="509"/>
      <c r="F44" s="510"/>
      <c r="G44" s="510"/>
      <c r="H44" s="511" t="str">
        <f>(IF(C44-E42&gt;0,1)+IF(D44-E43&gt;0,1)+IF(F44-E45&gt;0,1)+IF(G44-E46&gt;0,1))&amp;"-"&amp;(IF(C44-E42&lt;0,1)+IF(D44-E43&lt;0,1)+IF(F44-E45&lt;0,1)+IF(G44-E46&lt;0,1))</f>
        <v>0-0</v>
      </c>
      <c r="I44" s="510" t="str">
        <f>IF(AND(B44&lt;&gt;"",M$42=TRUE),A$42&amp;RANK(M44,M$43:VM$47,0),"")</f>
        <v/>
      </c>
      <c r="J44" s="512">
        <f t="shared" si="10"/>
        <v>0</v>
      </c>
      <c r="K44" s="639">
        <f>IF(AND(J44=1,J42=1,C44&gt;E42),1)+IF(AND(J44=1,J43=1,D44&gt;E43),1)+IF(AND(J44=1,J45=1,F44&gt;E45),1)+IF(AND(J44=1,J46=1,G44&gt;E46),1)+IF(AND(J44=2,J42=2,C44&gt;E42),1)+IF(AND(J44=2,J43=2,D44&gt;E43),1)+IF(AND(J44=2,J45=2,F44&gt;E45),1)+IF(AND(J44=2,J46=2,G44&gt;E46),1)+IF(AND(J44=3,J42=3,C44&gt;E42),1)+IF(AND(J44=3,J43=3,D44&gt;E43),1)+IF(AND(J44=3,J45=3,F44&gt;E45),1)+IF(AND(J44=3,J46=3,G44&gt;E46),1)</f>
        <v>0</v>
      </c>
      <c r="L44" s="1305">
        <f>IF(AND(J44=1,J42=1),C44-E42)+IF(AND(J44=1,J43=1),D44-E43)+IF(AND(J44=1,J45=1),F44-E45)+IF(AND(J44=1,J46=1),G44-E46)+IF(AND(J44=2,J42=2),C44-E42)+IF(AND(J44=2,J43=2),D44-E43)+IF(AND(J44=2,J45=2),F44-E45)+IF(AND(J44=2,J46=2),G44-E46)+IF(AND(J44=3,J42=3),C44-E42)+IF(AND(J44=3,J43=3),D44-E43)+IF(AND(J44=3,J45=3),F44-E45)+IF(AND(J44=3,J46=3),G44-E46)</f>
        <v>0</v>
      </c>
      <c r="M44" s="515">
        <f t="shared" si="11"/>
        <v>0</v>
      </c>
      <c r="N44" s="668"/>
    </row>
    <row r="45" spans="1:14" s="498" customFormat="1" hidden="1" x14ac:dyDescent="0.2">
      <c r="A45" s="500">
        <v>4</v>
      </c>
      <c r="B45" s="521"/>
      <c r="C45" s="510"/>
      <c r="D45" s="520"/>
      <c r="E45" s="510"/>
      <c r="F45" s="509"/>
      <c r="G45" s="522"/>
      <c r="H45" s="511" t="str">
        <f>(IF(C45-F42&gt;0,1)+IF(D45-F43&gt;0,1)+IF(E45-F44&gt;0,1)+IF(G45-F46&gt;0,1))&amp;"-"&amp;(IF(C45-F42&lt;0,1)+IF(D45-F43&lt;0,1)+IF(E45-F44&lt;0,1)+IF(G45-F46&lt;0,1))</f>
        <v>0-0</v>
      </c>
      <c r="I45" s="510" t="str">
        <f>IF(AND(B45&lt;&gt;"",M$42=TRUE),A$42&amp;RANK(M45,M$43:VM$47,0),"")</f>
        <v/>
      </c>
      <c r="J45" s="512">
        <f t="shared" si="10"/>
        <v>0</v>
      </c>
      <c r="K45" s="639">
        <f>IF(AND(J45=1,J42=1,C45&gt;F42),1)+IF(AND(J45=1,J43=1,D45&gt;F43),1)+IF(AND(J45=1,J44=1,E45&gt;F44),1)+IF(AND(J45=1,J46=1,G45&gt;F46),1)+IF(AND(J45=2,J42=2,C45&gt;F42),1)+IF(AND(J45=2,J43=2,D45&gt;F43),1)+IF(AND(J45=2,J44=2,E45&gt;F44),1)+IF(AND(J45=2,J46=2,G45&gt;F46),1)+IF(AND(J45=3,J42=3,C45&gt;F42),1)+IF(AND(J45=3,J43=3,D45&gt;F43),1)+IF(AND(J45=3,J44=3,E45&gt;F44),1)+IF(AND(J45=3,J46=3,G45&gt;F46),1)</f>
        <v>0</v>
      </c>
      <c r="L45" s="1305">
        <f>IF(AND(J45=1,J42=1),C45-F42)+IF(AND(J45=1,J43=1),D45-F43)+IF(AND(J45=1,J44=1),E45-F44)+IF(AND(J45=1,J46=1),G45-F46)+IF(AND(J45=2,J42=2),C45-F42)+IF(AND(J45=2,J43=2),D45-F43)+IF(AND(J45=2,J44=2),E45-F44)+IF(AND(J45=2,J46=2),G45-F46)+IF(AND(J45=3,J42=3),C45-F42)+IF(AND(J45=3,J43=3),D45-F43)+IF(AND(J45=3,J44=3),E45-F44)+IF(AND(J45=3,J46=3),G45-F46)</f>
        <v>0</v>
      </c>
      <c r="M45" s="515">
        <f t="shared" si="11"/>
        <v>0</v>
      </c>
      <c r="N45" s="668"/>
    </row>
    <row r="46" spans="1:14" s="498" customFormat="1" hidden="1" x14ac:dyDescent="0.2">
      <c r="A46" s="500">
        <v>5</v>
      </c>
      <c r="B46" s="521"/>
      <c r="C46" s="510"/>
      <c r="D46" s="510"/>
      <c r="E46" s="510"/>
      <c r="F46" s="510"/>
      <c r="G46" s="509"/>
      <c r="H46" s="511" t="str">
        <f>(IF(C46-G42&gt;0,1)+IF(D46-G43&gt;0,1)+IF(E46-G44&gt;0,1)+IF(F46-G45&gt;0,1))&amp;"-"&amp;(IF(C46-G42&lt;0,1)+IF(D46-G43&lt;0,1)+IF(E46-G44&lt;0,1)+IF(F46-G45&lt;0,1))</f>
        <v>0-0</v>
      </c>
      <c r="I46" s="510" t="str">
        <f>IF(AND(B46&lt;&gt;"",M$42=TRUE),A$42&amp;RANK(M46,M$43:VM$47,0),"")</f>
        <v/>
      </c>
      <c r="J46" s="512">
        <f t="shared" si="10"/>
        <v>0</v>
      </c>
      <c r="K46" s="639">
        <f>IF(AND(J46=1,J42=1,C46&gt;G42),1)+IF(AND(J46=1,J43=1,D46&gt;G43),1)+IF(AND(J46=1,J44=1,E46&gt;G44),1)+IF(AND(J46=1,J45=1,F46&gt;G45),1)+IF(AND(J46=2,J42=2,C46&gt;G42),1)+IF(AND(J46=2,J43=2,D46&gt;G43),1)+IF(AND(J46=2,J44=2,E46&gt;G44),1)+IF(AND(J46=2,J45=2,F46&gt;G45),1)+IF(AND(J46=3,J42=3,C46&gt;G42),1)+IF(AND(J46=3,J43=3,D46&gt;G43),1)+IF(AND(J46=3,J44=3,E46&gt;G44),1)+IF(AND(J46=3,J45=3,F46&gt;G45),1)</f>
        <v>0</v>
      </c>
      <c r="L46" s="1305">
        <f>IF(AND(J46=1,J42=1),C46-G42)+IF(AND(J46=1,J43=1),D46-G43)+IF(AND(J46=1,J44=1),E46-G44)+IF(AND(J46=1,J45=1),F46-G45)+IF(AND(J46=2,J42=2),C46-G42)+IF(AND(J46=2,J43=2),D46-G43)+IF(AND(J46=2,J44=2),E46-G44)+IF(AND(J46=2,J45=2),F46-G45)+IF(AND(J46=3,J42=3),C46-G42)+IF(AND(J46=3,J43=3),D46-G43)+IF(AND(J46=3,J44=3),E46-G44)+IF(AND(J46=3,J45=3),F46-G45)</f>
        <v>0</v>
      </c>
      <c r="M46" s="515">
        <f t="shared" si="11"/>
        <v>0</v>
      </c>
      <c r="N46" s="668"/>
    </row>
    <row r="47" spans="1:14" s="506" customFormat="1" hidden="1" x14ac:dyDescent="0.2">
      <c r="A47" s="523"/>
      <c r="B47" s="524"/>
      <c r="C47" s="525"/>
      <c r="D47" s="526"/>
      <c r="E47" s="525"/>
      <c r="F47" s="527"/>
      <c r="H47" s="528"/>
      <c r="I47" s="529"/>
      <c r="J47" s="496"/>
      <c r="K47" s="537"/>
      <c r="L47" s="531"/>
      <c r="M47" s="496"/>
      <c r="N47" s="668"/>
    </row>
    <row r="48" spans="1:14" s="498" customFormat="1" hidden="1" x14ac:dyDescent="0.2">
      <c r="A48" s="500" t="s">
        <v>146</v>
      </c>
      <c r="B48" s="501"/>
      <c r="C48" s="502">
        <v>1</v>
      </c>
      <c r="D48" s="502">
        <v>2</v>
      </c>
      <c r="E48" s="502">
        <v>3</v>
      </c>
      <c r="F48" s="502">
        <v>4</v>
      </c>
      <c r="G48" s="502"/>
      <c r="H48" s="501" t="s">
        <v>363</v>
      </c>
      <c r="I48" s="501" t="s">
        <v>26</v>
      </c>
      <c r="J48" s="533" t="s">
        <v>156</v>
      </c>
      <c r="K48" s="504" t="s">
        <v>156</v>
      </c>
      <c r="L48" s="534" t="s">
        <v>364</v>
      </c>
      <c r="M48" s="535" t="b">
        <f>OR(AND(COUNTA(B49:B53)=3,COUNTA(C49:G53)=6),AND(COUNTA(B49:B53)=4,COUNTA(C49:G53)=12),AND(COUNTA(B49:B53)=5,COUNTA(C49:G53)=20))</f>
        <v>0</v>
      </c>
      <c r="N48" s="668"/>
    </row>
    <row r="49" spans="1:14" s="498" customFormat="1" hidden="1" x14ac:dyDescent="0.2">
      <c r="A49" s="500">
        <v>1</v>
      </c>
      <c r="B49" s="508"/>
      <c r="C49" s="509"/>
      <c r="D49" s="510"/>
      <c r="E49" s="510"/>
      <c r="F49" s="510"/>
      <c r="G49" s="510"/>
      <c r="H49" s="511" t="str">
        <f>(IF(D49-C50&gt;0,1)+IF(E49-C51&gt;0,1)+IF(F49-C52&gt;0,1)+IF(G49-C53&gt;0,1))&amp;"-"&amp;(IF(D49-C50&lt;0,1)+IF(E49-C51&lt;0,1)+IF(F49-C52&lt;0,1)+IF(G49-C53&lt;0,1))</f>
        <v>0-0</v>
      </c>
      <c r="I49" s="510" t="str">
        <f>IF(AND(B49&lt;&gt;"",M$49=TRUE),A$49&amp;RANK(M49,M$50:M$54,0),"")</f>
        <v/>
      </c>
      <c r="J49" s="512">
        <f>VALUE(LEFT(H49,1))</f>
        <v>0</v>
      </c>
      <c r="K49" s="513">
        <f>IF(AND(J49=1,J50=1,D49&gt;C50),1)+IF(AND(J49=1,J51=1,E49&gt;C51),1)+IF(AND(J49=1,J52=1,F49&gt;C52),1)+IF(AND(J49=1,J53=1,G49&gt;C53),1)+IF(AND(J49=2,J50=2,D49&gt;C50),1)+IF(AND(J49=2,J51=2,E49&gt;C51),1)+IF(AND(J49=2,J52=2,F49&gt;C52),1)+IF(AND(J49=2,J53=2,G49&gt;C53),1)+IF(AND(J49=3,J50=3,D49&gt;C50),1)+IF(AND(J49=3,J51=3,E49&gt;C51),1)+IF(AND(J49=3,J52=3,F49&gt;C52),1)+IF(AND(J49=3,J53=3,G49&gt;C53),1)</f>
        <v>0</v>
      </c>
      <c r="L49" s="1305">
        <f>IF(AND(J49=1,J50=1),D49-C50)+IF(AND(J49=1,J51=1),E49-C51)+IF(AND(J49=1,J52=1),F49-C52)+IF(AND(J49=1,J53=1),G49-C53)+IF(AND(J49=2,J50=2),D49-C50)+IF(AND(J49=2,J51=2),E49-C51)+IF(AND(J49=2,J52=2),F49-C52)+IF(AND(J49=2,J53=2),G49-C53)+IF(AND(J49=3,J50=3),D49-C50)+IF(AND(J49=3,J51=3),E49-C51)+IF(AND(J49=3,J52=3),F49-C52)+IF(AND(J49=3,J53=3),G49-C53)</f>
        <v>0</v>
      </c>
      <c r="M49" s="515">
        <f>10000*J49+K49*100+L49</f>
        <v>0</v>
      </c>
      <c r="N49" s="668"/>
    </row>
    <row r="50" spans="1:14" s="498" customFormat="1" hidden="1" x14ac:dyDescent="0.2">
      <c r="A50" s="500">
        <v>2</v>
      </c>
      <c r="B50" s="518"/>
      <c r="C50" s="510"/>
      <c r="D50" s="509"/>
      <c r="E50" s="510"/>
      <c r="F50" s="510"/>
      <c r="G50" s="510"/>
      <c r="H50" s="511" t="str">
        <f>(IF(C50-D49&gt;0,1)+IF(E50-D51&gt;0,1)+IF(F50-D52&gt;0,1)+IF(G50-D53&gt;0,1))&amp;"-"&amp;(IF(C50-D49&lt;0,1)+IF(E50-D51&lt;0,1)+IF(F50-D52&lt;0,1)+IF(G50-D53&lt;0,1))</f>
        <v>0-0</v>
      </c>
      <c r="I50" s="510" t="str">
        <f>IF(AND(B50&lt;&gt;"",M$49=TRUE),A$49&amp;RANK(M50,M$50:M$54,0),"")</f>
        <v/>
      </c>
      <c r="J50" s="512">
        <f t="shared" ref="J50:J53" si="12">VALUE(LEFT(H50,1))</f>
        <v>0</v>
      </c>
      <c r="K50" s="639">
        <f>IF(AND(J50=1,J49=1,C50&gt;D49),1)+IF(AND(J50=1,J51=1,E50&gt;D51),1)+IF(AND(J50=1,J52=1,F50&gt;D52),1)+IF(AND(J50=1,J53=1,G50&gt;D53),1)+IF(AND(J50=2,J49=2,C50&gt;D49),1)+IF(AND(J50=2,J51=2,E50&gt;D51),1)+IF(AND(J50=2,J52=2,F50&gt;D52),1)+IF(AND(J50=2,J53=2,G50&gt;D53),1)+IF(AND(J50=3,J49=3,C50&gt;D49),1)+IF(AND(J50=3,J51=3,E50&gt;D51),1)+IF(AND(J50=3,J52=3,F50&gt;D52),1)+IF(AND(J50=3,J53=3,G50&gt;D53),1)</f>
        <v>0</v>
      </c>
      <c r="L50" s="1305">
        <f>IF(AND(J50=1,J49=1),C50-D49)+IF(AND(J50=1,J51=1),E50-D51)+IF(AND(J50=1,J52=1),F50-D52)+IF(AND(J50=1,J53=1),G50-D53)+IF(AND(J50=2,J49=2),C50-D49)+IF(AND(J50=2,J51=2),E50-D51)+IF(AND(J50=2,J52=2),F50-D52)+IF(AND(J50=2,J53=2),G50-D53)+IF(AND(J50=3,J49=3),C50-D49)+IF(AND(J50=3,J51=3),E50-D51)+IF(AND(J50=3,J52=3),F50-D52)+IF(AND(J50=3,J53=3),G50-D53)</f>
        <v>0</v>
      </c>
      <c r="M50" s="515">
        <f t="shared" ref="M50:M53" si="13">10000*J50+K50*100+L50</f>
        <v>0</v>
      </c>
      <c r="N50" s="668"/>
    </row>
    <row r="51" spans="1:14" s="498" customFormat="1" hidden="1" x14ac:dyDescent="0.2">
      <c r="A51" s="500">
        <v>3</v>
      </c>
      <c r="B51" s="518"/>
      <c r="C51" s="510"/>
      <c r="D51" s="520"/>
      <c r="E51" s="509"/>
      <c r="F51" s="510"/>
      <c r="G51" s="510"/>
      <c r="H51" s="511" t="str">
        <f>(IF(C51-E49&gt;0,1)+IF(D51-E50&gt;0,1)+IF(F51-E52&gt;0,1)+IF(G51-E53&gt;0,1))&amp;"-"&amp;(IF(C51-E49&lt;0,1)+IF(D51-E50&lt;0,1)+IF(F51-E52&lt;0,1)+IF(G51-E53&lt;0,1))</f>
        <v>0-0</v>
      </c>
      <c r="I51" s="510" t="str">
        <f>IF(AND(B51&lt;&gt;"",M$49=TRUE),A$49&amp;RANK(M51,M$50:M$54,0),"")</f>
        <v/>
      </c>
      <c r="J51" s="512">
        <f t="shared" si="12"/>
        <v>0</v>
      </c>
      <c r="K51" s="639">
        <f>IF(AND(J51=1,J49=1,C51&gt;E49),1)+IF(AND(J51=1,J50=1,D51&gt;E50),1)+IF(AND(J51=1,J52=1,F51&gt;E52),1)+IF(AND(J51=1,J53=1,G51&gt;E53),1)+IF(AND(J51=2,J49=2,C51&gt;E49),1)+IF(AND(J51=2,J50=2,D51&gt;E50),1)+IF(AND(J51=2,J52=2,F51&gt;E52),1)+IF(AND(J51=2,J53=2,G51&gt;E53),1)+IF(AND(J51=3,J49=3,C51&gt;E49),1)+IF(AND(J51=3,J50=3,D51&gt;E50),1)+IF(AND(J51=3,J52=3,F51&gt;E52),1)+IF(AND(J51=3,J53=3,G51&gt;E53),1)</f>
        <v>0</v>
      </c>
      <c r="L51" s="1305">
        <f>IF(AND(J51=1,J49=1),C51-E49)+IF(AND(J51=1,J50=1),D51-E50)+IF(AND(J51=1,J52=1),F51-E52)+IF(AND(J51=1,J53=1),G51-E53)+IF(AND(J51=2,J49=2),C51-E49)+IF(AND(J51=2,J50=2),D51-E50)+IF(AND(J51=2,J52=2),F51-E52)+IF(AND(J51=2,J53=2),G51-E53)+IF(AND(J51=3,J49=3),C51-E49)+IF(AND(J51=3,J50=3),D51-E50)+IF(AND(J51=3,J52=3),F51-E52)+IF(AND(J51=3,J53=3),G51-E53)</f>
        <v>0</v>
      </c>
      <c r="M51" s="515">
        <f t="shared" si="13"/>
        <v>0</v>
      </c>
      <c r="N51" s="668"/>
    </row>
    <row r="52" spans="1:14" s="498" customFormat="1" hidden="1" x14ac:dyDescent="0.2">
      <c r="A52" s="500">
        <v>4</v>
      </c>
      <c r="B52" s="521"/>
      <c r="C52" s="510"/>
      <c r="D52" s="520"/>
      <c r="E52" s="510"/>
      <c r="F52" s="509"/>
      <c r="G52" s="522"/>
      <c r="H52" s="511" t="str">
        <f>(IF(C52-F49&gt;0,1)+IF(D52-F50&gt;0,1)+IF(E52-F51&gt;0,1)+IF(G52-F53&gt;0,1))&amp;"-"&amp;(IF(C52-F49&lt;0,1)+IF(D52-F50&lt;0,1)+IF(E52-F51&lt;0,1)+IF(G52-F53&lt;0,1))</f>
        <v>0-0</v>
      </c>
      <c r="I52" s="510" t="str">
        <f>IF(AND(B52&lt;&gt;"",M$49=TRUE),A$49&amp;RANK(M52,M$50:M$54,0),"")</f>
        <v/>
      </c>
      <c r="J52" s="512">
        <f t="shared" si="12"/>
        <v>0</v>
      </c>
      <c r="K52" s="639">
        <f>IF(AND(J52=1,J49=1,C52&gt;F49),1)+IF(AND(J52=1,J50=1,D52&gt;F50),1)+IF(AND(J52=1,J51=1,E52&gt;F51),1)+IF(AND(J52=1,J53=1,G52&gt;F53),1)+IF(AND(J52=2,J49=2,C52&gt;F49),1)+IF(AND(J52=2,J50=2,D52&gt;F50),1)+IF(AND(J52=2,J51=2,E52&gt;F51),1)+IF(AND(J52=2,J53=2,G52&gt;F53),1)+IF(AND(J52=3,J49=3,C52&gt;F49),1)+IF(AND(J52=3,J50=3,D52&gt;F50),1)+IF(AND(J52=3,J51=3,E52&gt;F51),1)+IF(AND(J52=3,J53=3,G52&gt;F53),1)</f>
        <v>0</v>
      </c>
      <c r="L52" s="1305">
        <f>IF(AND(J52=1,J49=1),C52-F49)+IF(AND(J52=1,J50=1),D52-F50)+IF(AND(J52=1,J51=1),E52-F51)+IF(AND(J52=1,J53=1),G52-F53)+IF(AND(J52=2,J49=2),C52-F49)+IF(AND(J52=2,J50=2),D52-F50)+IF(AND(J52=2,J51=2),E52-F51)+IF(AND(J52=2,J53=2),G52-F53)+IF(AND(J52=3,J49=3),C52-F49)+IF(AND(J52=3,J50=3),D52-F50)+IF(AND(J52=3,J51=3),E52-F51)+IF(AND(J52=3,J53=3),G52-F53)</f>
        <v>0</v>
      </c>
      <c r="M52" s="515">
        <f t="shared" si="13"/>
        <v>0</v>
      </c>
      <c r="N52" s="668"/>
    </row>
    <row r="53" spans="1:14" s="498" customFormat="1" hidden="1" x14ac:dyDescent="0.2">
      <c r="A53" s="500">
        <v>5</v>
      </c>
      <c r="B53" s="521"/>
      <c r="C53" s="510"/>
      <c r="D53" s="510"/>
      <c r="E53" s="510"/>
      <c r="F53" s="510"/>
      <c r="G53" s="509"/>
      <c r="H53" s="511" t="str">
        <f>(IF(C53-G49&gt;0,1)+IF(D53-G50&gt;0,1)+IF(E53-G51&gt;0,1)+IF(F53-G52&gt;0,1))&amp;"-"&amp;(IF(C53-G49&lt;0,1)+IF(D53-G50&lt;0,1)+IF(E53-G51&lt;0,1)+IF(F53-G52&lt;0,1))</f>
        <v>0-0</v>
      </c>
      <c r="I53" s="510" t="str">
        <f>IF(AND(B53&lt;&gt;"",M$49=TRUE),A$49&amp;RANK(M53,M$50:M$54,0),"")</f>
        <v/>
      </c>
      <c r="J53" s="512">
        <f t="shared" si="12"/>
        <v>0</v>
      </c>
      <c r="K53" s="639">
        <f>IF(AND(J53=1,J49=1,C53&gt;G49),1)+IF(AND(J53=1,J50=1,D53&gt;G50),1)+IF(AND(J53=1,J51=1,E53&gt;G51),1)+IF(AND(J53=1,J52=1,F53&gt;G52),1)+IF(AND(J53=2,J49=2,C53&gt;G49),1)+IF(AND(J53=2,J50=2,D53&gt;G50),1)+IF(AND(J53=2,J51=2,E53&gt;G51),1)+IF(AND(J53=2,J52=2,F53&gt;G52),1)+IF(AND(J53=3,J49=3,C53&gt;G49),1)+IF(AND(J53=3,J50=3,D53&gt;G50),1)+IF(AND(J53=3,J51=3,E53&gt;G51),1)+IF(AND(J53=3,J52=3,F53&gt;G52),1)</f>
        <v>0</v>
      </c>
      <c r="L53" s="1305">
        <f>IF(AND(J53=1,J49=1),C53-G49)+IF(AND(J53=1,J50=1),D53-G50)+IF(AND(J53=1,J51=1),E53-G51)+IF(AND(J53=1,J52=1),F53-G52)+IF(AND(J53=2,J49=2),C53-G49)+IF(AND(J53=2,J50=2),D53-G50)+IF(AND(J53=2,J51=2),E53-G51)+IF(AND(J53=2,J52=2),F53-G52)+IF(AND(J53=3,J49=3),C53-G49)+IF(AND(J53=3,J50=3),D53-G50)+IF(AND(J53=3,J51=3),E53-G51)+IF(AND(J53=3,J52=3),F53-G52)</f>
        <v>0</v>
      </c>
      <c r="M53" s="515">
        <f t="shared" si="13"/>
        <v>0</v>
      </c>
      <c r="N53" s="668"/>
    </row>
    <row r="54" spans="1:14" s="498" customFormat="1" hidden="1" x14ac:dyDescent="0.2">
      <c r="A54" s="538"/>
      <c r="B54" s="539"/>
      <c r="C54" s="540"/>
      <c r="D54" s="540"/>
      <c r="E54" s="540"/>
      <c r="F54" s="641"/>
      <c r="G54" s="641"/>
      <c r="H54" s="541"/>
      <c r="I54" s="542"/>
      <c r="J54" s="642"/>
      <c r="K54" s="530"/>
      <c r="L54" s="643"/>
      <c r="M54" s="642"/>
      <c r="N54" s="668"/>
    </row>
    <row r="55" spans="1:14" s="506" customFormat="1" hidden="1" x14ac:dyDescent="0.2">
      <c r="A55" s="500" t="s">
        <v>147</v>
      </c>
      <c r="B55" s="501"/>
      <c r="C55" s="502">
        <v>1</v>
      </c>
      <c r="D55" s="502">
        <v>2</v>
      </c>
      <c r="E55" s="502">
        <v>3</v>
      </c>
      <c r="F55" s="502">
        <v>4</v>
      </c>
      <c r="G55" s="502"/>
      <c r="H55" s="501" t="s">
        <v>363</v>
      </c>
      <c r="I55" s="501" t="s">
        <v>26</v>
      </c>
      <c r="J55" s="533" t="s">
        <v>156</v>
      </c>
      <c r="K55" s="504" t="s">
        <v>156</v>
      </c>
      <c r="L55" s="534" t="s">
        <v>364</v>
      </c>
      <c r="M55" s="535" t="b">
        <f>OR(AND(COUNTA(B56:B60)=3,COUNTA(C56:G60)=6),AND(COUNTA(B56:B60)=4,COUNTA(C56:G60)=12),AND(COUNTA(B56:B60)=5,COUNTA(C56:G60)=20))</f>
        <v>0</v>
      </c>
      <c r="N55" s="668"/>
    </row>
    <row r="56" spans="1:14" s="506" customFormat="1" hidden="1" x14ac:dyDescent="0.2">
      <c r="A56" s="500">
        <v>1</v>
      </c>
      <c r="B56" s="508"/>
      <c r="C56" s="509"/>
      <c r="D56" s="510"/>
      <c r="E56" s="510"/>
      <c r="F56" s="510"/>
      <c r="G56" s="510"/>
      <c r="H56" s="511" t="str">
        <f>(IF(D56-C57&gt;0,1)+IF(E56-C58&gt;0,1)+IF(F56-C59&gt;0,1)+IF(G56-C60&gt;0,1))&amp;"-"&amp;(IF(D56-C57&lt;0,1)+IF(E56-C58&lt;0,1)+IF(F56-C59&lt;0,1)+IF(G56-C60&lt;0,1))</f>
        <v>0-0</v>
      </c>
      <c r="I56" s="510" t="str">
        <f>IF(AND(B56&lt;&gt;"",M$56=TRUE),A$56&amp;RANK(M56,M$57:M$61,0),"")</f>
        <v/>
      </c>
      <c r="J56" s="512">
        <f>VALUE(LEFT(H56,1))</f>
        <v>0</v>
      </c>
      <c r="K56" s="513">
        <f>IF(AND(J56=1,J57=1,D56&gt;C57),1)+IF(AND(J56=1,J58=1,E56&gt;C58),1)+IF(AND(J56=1,J59=1,F56&gt;C59),1)+IF(AND(J56=1,J60=1,G56&gt;C60),1)+IF(AND(J56=2,J57=2,D56&gt;C57),1)+IF(AND(J56=2,J58=2,E56&gt;C58),1)+IF(AND(J56=2,J59=2,F56&gt;C59),1)+IF(AND(J56=2,J60=2,G56&gt;C60),1)+IF(AND(J56=3,J57=3,D56&gt;C57),1)+IF(AND(J56=3,J58=3,E56&gt;C58),1)+IF(AND(J56=3,J59=3,F56&gt;C59),1)+IF(AND(J56=3,J60=3,G56&gt;C60),1)</f>
        <v>0</v>
      </c>
      <c r="L56" s="1305">
        <f>IF(AND(J56=1,J57=1),D56-C57)+IF(AND(J56=1,J58=1),E56-C58)+IF(AND(J56=1,J59=1),F56-C59)+IF(AND(J56=1,J60=1),G56-C60)+IF(AND(J56=2,J57=2),D56-C57)+IF(AND(J56=2,J58=2),E56-C58)+IF(AND(J56=2,J59=2),F56-C59)+IF(AND(J56=2,J60=2),G56-C60)+IF(AND(J56=3,J57=3),D56-C57)+IF(AND(J56=3,J58=3),E56-C58)+IF(AND(J56=3,J59=3),F56-C59)+IF(AND(J56=3,J60=3),G56-C60)</f>
        <v>0</v>
      </c>
      <c r="M56" s="515">
        <f>10000*J56+K56*100+L56</f>
        <v>0</v>
      </c>
      <c r="N56" s="668"/>
    </row>
    <row r="57" spans="1:14" s="506" customFormat="1" hidden="1" x14ac:dyDescent="0.2">
      <c r="A57" s="500">
        <v>2</v>
      </c>
      <c r="B57" s="518"/>
      <c r="C57" s="510"/>
      <c r="D57" s="509"/>
      <c r="E57" s="510"/>
      <c r="F57" s="510"/>
      <c r="G57" s="510"/>
      <c r="H57" s="511" t="str">
        <f>(IF(C57-D56&gt;0,1)+IF(E57-D58&gt;0,1)+IF(F57-D59&gt;0,1)+IF(G57-D60&gt;0,1))&amp;"-"&amp;(IF(C57-D56&lt;0,1)+IF(E57-D58&lt;0,1)+IF(F57-D59&lt;0,1)+IF(G57-D60&lt;0,1))</f>
        <v>0-0</v>
      </c>
      <c r="I57" s="510" t="str">
        <f>IF(AND(B57&lt;&gt;"",M$56=TRUE),A$56&amp;RANK(M57,M$57:M$61,0),"")</f>
        <v/>
      </c>
      <c r="J57" s="512">
        <f t="shared" ref="J57:J60" si="14">VALUE(LEFT(H57,1))</f>
        <v>0</v>
      </c>
      <c r="K57" s="639">
        <f>IF(AND(J57=1,J56=1,C57&gt;D56),1)+IF(AND(J57=1,J58=1,E57&gt;D58),1)+IF(AND(J57=1,J59=1,F57&gt;D59),1)+IF(AND(J57=1,J60=1,G57&gt;D60),1)+IF(AND(J57=2,J56=2,C57&gt;D56),1)+IF(AND(J57=2,J58=2,E57&gt;D58),1)+IF(AND(J57=2,J59=2,F57&gt;D59),1)+IF(AND(J57=2,J60=2,G57&gt;D60),1)+IF(AND(J57=3,J56=3,C57&gt;D56),1)+IF(AND(J57=3,J58=3,E57&gt;D58),1)+IF(AND(J57=3,J59=3,F57&gt;D59),1)+IF(AND(J57=3,J60=3,G57&gt;D60),1)</f>
        <v>0</v>
      </c>
      <c r="L57" s="1305">
        <f>IF(AND(J57=1,J56=1),C57-D56)+IF(AND(J57=1,J58=1),E57-D58)+IF(AND(J57=1,J59=1),F57-D59)+IF(AND(J57=1,J60=1),G57-D60)+IF(AND(J57=2,J56=2),C57-D56)+IF(AND(J57=2,J58=2),E57-D58)+IF(AND(J57=2,J59=2),F57-D59)+IF(AND(J57=2,J60=2),G57-D60)+IF(AND(J57=3,J56=3),C57-D56)+IF(AND(J57=3,J58=3),E57-D58)+IF(AND(J57=3,J59=3),F57-D59)+IF(AND(J57=3,J60=3),G57-D60)</f>
        <v>0</v>
      </c>
      <c r="M57" s="515">
        <f t="shared" ref="M57:M60" si="15">10000*J57+K57*100+L57</f>
        <v>0</v>
      </c>
      <c r="N57" s="668"/>
    </row>
    <row r="58" spans="1:14" s="506" customFormat="1" hidden="1" x14ac:dyDescent="0.2">
      <c r="A58" s="500">
        <v>3</v>
      </c>
      <c r="B58" s="518"/>
      <c r="C58" s="510"/>
      <c r="D58" s="520"/>
      <c r="E58" s="509"/>
      <c r="F58" s="510"/>
      <c r="G58" s="510"/>
      <c r="H58" s="511" t="str">
        <f>(IF(C58-E56&gt;0,1)+IF(D58-E57&gt;0,1)+IF(F58-E59&gt;0,1)+IF(G58-E60&gt;0,1))&amp;"-"&amp;(IF(C58-E56&lt;0,1)+IF(D58-E57&lt;0,1)+IF(F58-E59&lt;0,1)+IF(G58-E60&lt;0,1))</f>
        <v>0-0</v>
      </c>
      <c r="I58" s="510" t="str">
        <f>IF(AND(B58&lt;&gt;"",M$56=TRUE),A$56&amp;RANK(M58,M$57:M$61,0),"")</f>
        <v/>
      </c>
      <c r="J58" s="512">
        <f t="shared" si="14"/>
        <v>0</v>
      </c>
      <c r="K58" s="639">
        <f>IF(AND(J58=1,J56=1,C58&gt;E56),1)+IF(AND(J58=1,J57=1,D58&gt;E57),1)+IF(AND(J58=1,J59=1,F58&gt;E59),1)+IF(AND(J58=1,J60=1,G58&gt;E60),1)+IF(AND(J58=2,J56=2,C58&gt;E56),1)+IF(AND(J58=2,J57=2,D58&gt;E57),1)+IF(AND(J58=2,J59=2,F58&gt;E59),1)+IF(AND(J58=2,J60=2,G58&gt;E60),1)+IF(AND(J58=3,J56=3,C58&gt;E56),1)+IF(AND(J58=3,J57=3,D58&gt;E57),1)+IF(AND(J58=3,J59=3,F58&gt;E59),1)+IF(AND(J58=3,J60=3,G58&gt;E60),1)</f>
        <v>0</v>
      </c>
      <c r="L58" s="1305">
        <f>IF(AND(J58=1,J56=1),C58-E56)+IF(AND(J58=1,J57=1),D58-E57)+IF(AND(J58=1,J59=1),F58-E59)+IF(AND(J58=1,J60=1),G58-E60)+IF(AND(J58=2,J56=2),C58-E56)+IF(AND(J58=2,J57=2),D58-E57)+IF(AND(J58=2,J59=2),F58-E59)+IF(AND(J58=2,J60=2),G58-E60)+IF(AND(J58=3,J56=3),C58-E56)+IF(AND(J58=3,J57=3),D58-E57)+IF(AND(J58=3,J59=3),F58-E59)+IF(AND(J58=3,J60=3),G58-E60)</f>
        <v>0</v>
      </c>
      <c r="M58" s="515">
        <f t="shared" si="15"/>
        <v>0</v>
      </c>
      <c r="N58" s="668"/>
    </row>
    <row r="59" spans="1:14" s="506" customFormat="1" hidden="1" x14ac:dyDescent="0.2">
      <c r="A59" s="500">
        <v>4</v>
      </c>
      <c r="B59" s="521"/>
      <c r="C59" s="510"/>
      <c r="D59" s="520"/>
      <c r="E59" s="510"/>
      <c r="F59" s="509"/>
      <c r="G59" s="522"/>
      <c r="H59" s="511" t="str">
        <f>(IF(C59-F56&gt;0,1)+IF(D59-F57&gt;0,1)+IF(E59-F58&gt;0,1)+IF(G59-F60&gt;0,1))&amp;"-"&amp;(IF(C59-F56&lt;0,1)+IF(D59-F57&lt;0,1)+IF(E59-F58&lt;0,1)+IF(G59-F60&lt;0,1))</f>
        <v>0-0</v>
      </c>
      <c r="I59" s="510" t="str">
        <f>IF(AND(B59&lt;&gt;"",M$56=TRUE),A$56&amp;RANK(M59,M$57:M$61,0),"")</f>
        <v/>
      </c>
      <c r="J59" s="512">
        <f t="shared" si="14"/>
        <v>0</v>
      </c>
      <c r="K59" s="639">
        <f>IF(AND(J59=1,J56=1,C59&gt;F56),1)+IF(AND(J59=1,J57=1,D59&gt;F57),1)+IF(AND(J59=1,J58=1,E59&gt;F58),1)+IF(AND(J59=1,J60=1,G59&gt;F60),1)+IF(AND(J59=2,J56=2,C59&gt;F56),1)+IF(AND(J59=2,J57=2,D59&gt;F57),1)+IF(AND(J59=2,J58=2,E59&gt;F58),1)+IF(AND(J59=2,J60=2,G59&gt;F60),1)+IF(AND(J59=3,J56=3,C59&gt;F56),1)+IF(AND(J59=3,J57=3,D59&gt;F57),1)+IF(AND(J59=3,J58=3,E59&gt;F58),1)+IF(AND(J59=3,J60=3,G59&gt;F60),1)</f>
        <v>0</v>
      </c>
      <c r="L59" s="1305">
        <f>IF(AND(J59=1,J56=1),C59-F56)+IF(AND(J59=1,J57=1),D59-F57)+IF(AND(J59=1,J58=1),E59-F58)+IF(AND(J59=1,J60=1),G59-F60)+IF(AND(J59=2,J56=2),C59-F56)+IF(AND(J59=2,J57=2),D59-F57)+IF(AND(J59=2,J58=2),E59-F58)+IF(AND(J59=2,J60=2),G59-F60)+IF(AND(J59=3,J56=3),C59-F56)+IF(AND(J59=3,J57=3),D59-F57)+IF(AND(J59=3,J58=3),E59-F58)+IF(AND(J59=3,J60=3),G59-F60)</f>
        <v>0</v>
      </c>
      <c r="M59" s="515">
        <f t="shared" si="15"/>
        <v>0</v>
      </c>
      <c r="N59" s="668"/>
    </row>
    <row r="60" spans="1:14" s="506" customFormat="1" hidden="1" x14ac:dyDescent="0.2">
      <c r="A60" s="500">
        <v>5</v>
      </c>
      <c r="B60" s="521"/>
      <c r="C60" s="510"/>
      <c r="D60" s="510"/>
      <c r="E60" s="510"/>
      <c r="F60" s="510"/>
      <c r="G60" s="509"/>
      <c r="H60" s="511" t="str">
        <f>(IF(C60-G56&gt;0,1)+IF(D60-G57&gt;0,1)+IF(E60-G58&gt;0,1)+IF(F60-G59&gt;0,1))&amp;"-"&amp;(IF(C60-G56&lt;0,1)+IF(D60-G57&lt;0,1)+IF(E60-G58&lt;0,1)+IF(F60-G59&lt;0,1))</f>
        <v>0-0</v>
      </c>
      <c r="I60" s="510" t="str">
        <f>IF(AND(B60&lt;&gt;"",M$56=TRUE),A$56&amp;RANK(M60,M$57:M$61,0),"")</f>
        <v/>
      </c>
      <c r="J60" s="512">
        <f t="shared" si="14"/>
        <v>0</v>
      </c>
      <c r="K60" s="639">
        <f>IF(AND(J60=1,J56=1,C60&gt;G56),1)+IF(AND(J60=1,J57=1,D60&gt;G57),1)+IF(AND(J60=1,J58=1,E60&gt;G58),1)+IF(AND(J60=1,J59=1,F60&gt;G59),1)+IF(AND(J60=2,J56=2,C60&gt;G56),1)+IF(AND(J60=2,J57=2,D60&gt;G57),1)+IF(AND(J60=2,J58=2,E60&gt;G58),1)+IF(AND(J60=2,J59=2,F60&gt;G59),1)+IF(AND(J60=3,J56=3,C60&gt;G56),1)+IF(AND(J60=3,J57=3,D60&gt;G57),1)+IF(AND(J60=3,J58=3,E60&gt;G58),1)+IF(AND(J60=3,J59=3,F60&gt;G59),1)</f>
        <v>0</v>
      </c>
      <c r="L60" s="1305">
        <f>IF(AND(J60=1,J56=1),C60-G56)+IF(AND(J60=1,J57=1),D60-G57)+IF(AND(J60=1,J58=1),E60-G58)+IF(AND(J60=1,J59=1),F60-G59)+IF(AND(J60=2,J56=2),C60-G56)+IF(AND(J60=2,J57=2),D60-G57)+IF(AND(J60=2,J58=2),E60-G58)+IF(AND(J60=2,J59=2),F60-G59)+IF(AND(J60=3,J56=3),C60-G56)+IF(AND(J60=3,J57=3),D60-G57)+IF(AND(J60=3,J58=3),E60-G58)+IF(AND(J60=3,J59=3),F60-G59)</f>
        <v>0</v>
      </c>
      <c r="M60" s="515">
        <f t="shared" si="15"/>
        <v>0</v>
      </c>
      <c r="N60" s="668"/>
    </row>
    <row r="61" spans="1:14" s="55" customFormat="1" hidden="1" x14ac:dyDescent="0.2">
      <c r="N61" s="668"/>
    </row>
    <row r="62" spans="1:14" s="55" customFormat="1" hidden="1" x14ac:dyDescent="0.2">
      <c r="B62" s="549" t="s">
        <v>16</v>
      </c>
      <c r="C62" s="550" t="s">
        <v>366</v>
      </c>
      <c r="D62" s="550"/>
      <c r="N62" s="668"/>
    </row>
    <row r="63" spans="1:14" s="55" customFormat="1" hidden="1" x14ac:dyDescent="0.2">
      <c r="B63" s="549" t="s">
        <v>17</v>
      </c>
      <c r="C63" s="550" t="s">
        <v>367</v>
      </c>
      <c r="D63" s="506"/>
      <c r="N63" s="668"/>
    </row>
    <row r="64" spans="1:14" s="55" customFormat="1" hidden="1" x14ac:dyDescent="0.2">
      <c r="B64" s="549" t="s">
        <v>18</v>
      </c>
      <c r="C64" s="550" t="s">
        <v>368</v>
      </c>
      <c r="D64" s="506"/>
      <c r="N64" s="668"/>
    </row>
    <row r="65" spans="1:14" s="55" customFormat="1" hidden="1" x14ac:dyDescent="0.2">
      <c r="B65" s="506"/>
      <c r="C65" s="506"/>
      <c r="D65" s="506"/>
      <c r="N65" s="668"/>
    </row>
    <row r="66" spans="1:14" s="55" customFormat="1" hidden="1" x14ac:dyDescent="0.2">
      <c r="B66" s="549" t="s">
        <v>16</v>
      </c>
      <c r="C66" s="550" t="s">
        <v>369</v>
      </c>
      <c r="D66" s="550" t="s">
        <v>367</v>
      </c>
      <c r="N66" s="668"/>
    </row>
    <row r="67" spans="1:14" s="55" customFormat="1" hidden="1" x14ac:dyDescent="0.2">
      <c r="B67" s="549" t="s">
        <v>17</v>
      </c>
      <c r="C67" s="550" t="s">
        <v>366</v>
      </c>
      <c r="D67" s="550" t="s">
        <v>370</v>
      </c>
      <c r="N67" s="668"/>
    </row>
    <row r="68" spans="1:14" s="55" customFormat="1" hidden="1" x14ac:dyDescent="0.2">
      <c r="B68" s="549" t="s">
        <v>18</v>
      </c>
      <c r="C68" s="550" t="s">
        <v>368</v>
      </c>
      <c r="D68" s="550" t="s">
        <v>371</v>
      </c>
      <c r="N68" s="668"/>
    </row>
    <row r="69" spans="1:14" s="55" customFormat="1" x14ac:dyDescent="0.2">
      <c r="B69" s="551"/>
      <c r="C69" s="527"/>
      <c r="D69" s="527"/>
      <c r="N69" s="668"/>
    </row>
    <row r="70" spans="1:14" s="55" customFormat="1" x14ac:dyDescent="0.2">
      <c r="B70" s="549" t="s">
        <v>16</v>
      </c>
      <c r="C70" s="550" t="s">
        <v>372</v>
      </c>
      <c r="D70" s="550" t="s">
        <v>370</v>
      </c>
      <c r="N70" s="668"/>
    </row>
    <row r="71" spans="1:14" s="55" customFormat="1" x14ac:dyDescent="0.2">
      <c r="B71" s="549" t="s">
        <v>17</v>
      </c>
      <c r="C71" s="550" t="s">
        <v>366</v>
      </c>
      <c r="D71" s="550" t="s">
        <v>373</v>
      </c>
      <c r="N71" s="668"/>
    </row>
    <row r="72" spans="1:14" s="55" customFormat="1" x14ac:dyDescent="0.2">
      <c r="B72" s="549" t="s">
        <v>18</v>
      </c>
      <c r="C72" s="550" t="s">
        <v>374</v>
      </c>
      <c r="D72" s="550" t="s">
        <v>371</v>
      </c>
      <c r="N72" s="668"/>
    </row>
    <row r="73" spans="1:14" s="55" customFormat="1" x14ac:dyDescent="0.2">
      <c r="B73" s="549" t="s">
        <v>19</v>
      </c>
      <c r="C73" s="550" t="s">
        <v>375</v>
      </c>
      <c r="D73" s="550" t="s">
        <v>376</v>
      </c>
      <c r="N73" s="668"/>
    </row>
    <row r="74" spans="1:14" s="55" customFormat="1" x14ac:dyDescent="0.2">
      <c r="B74" s="549" t="s">
        <v>20</v>
      </c>
      <c r="C74" s="550" t="s">
        <v>367</v>
      </c>
      <c r="D74" s="550" t="s">
        <v>369</v>
      </c>
      <c r="N74" s="668"/>
    </row>
    <row r="75" spans="1:14" s="55" customFormat="1" hidden="1" x14ac:dyDescent="0.2">
      <c r="A75" s="668"/>
      <c r="B75" s="668"/>
      <c r="C75" s="668"/>
      <c r="D75" s="668"/>
      <c r="E75" s="668"/>
      <c r="F75" s="668"/>
      <c r="G75" s="668"/>
      <c r="H75" s="668"/>
      <c r="I75" s="35"/>
      <c r="J75" s="668"/>
      <c r="K75" s="668"/>
      <c r="L75" s="668"/>
      <c r="M75" s="668"/>
      <c r="N75" s="668"/>
    </row>
    <row r="76" spans="1:14" s="55" customFormat="1" hidden="1" x14ac:dyDescent="0.2">
      <c r="A76" s="668"/>
      <c r="B76" s="668"/>
      <c r="C76" s="668"/>
      <c r="D76" s="668"/>
      <c r="E76" s="668"/>
      <c r="F76" s="668"/>
      <c r="G76" s="668"/>
      <c r="H76" s="668"/>
      <c r="I76" s="35"/>
      <c r="J76" s="668"/>
      <c r="K76" s="668"/>
      <c r="L76" s="668"/>
      <c r="M76" s="668"/>
      <c r="N76" s="668"/>
    </row>
    <row r="77" spans="1:14" s="55" customFormat="1" hidden="1" x14ac:dyDescent="0.2">
      <c r="A77" s="668"/>
      <c r="B77" s="668"/>
      <c r="C77" s="668"/>
      <c r="D77" s="668"/>
      <c r="E77" s="668"/>
      <c r="F77" s="668"/>
      <c r="G77" s="668"/>
      <c r="H77" s="668"/>
      <c r="I77" s="35"/>
      <c r="J77" s="668"/>
      <c r="K77" s="668"/>
      <c r="L77" s="668"/>
      <c r="M77" s="668"/>
      <c r="N77" s="668"/>
    </row>
    <row r="78" spans="1:14" s="55" customFormat="1" hidden="1" x14ac:dyDescent="0.2">
      <c r="A78" s="668"/>
      <c r="B78" s="668"/>
      <c r="C78" s="668"/>
      <c r="D78" s="668"/>
      <c r="E78" s="668"/>
      <c r="F78" s="668"/>
      <c r="G78" s="668"/>
      <c r="H78" s="668"/>
      <c r="I78" s="35"/>
      <c r="J78" s="668"/>
      <c r="K78" s="668"/>
      <c r="L78" s="668"/>
      <c r="M78" s="668"/>
      <c r="N78" s="668"/>
    </row>
    <row r="79" spans="1:14" s="55" customFormat="1" hidden="1" x14ac:dyDescent="0.2">
      <c r="A79" s="668"/>
      <c r="B79" s="668"/>
      <c r="C79" s="668"/>
      <c r="D79" s="668"/>
      <c r="E79" s="668"/>
      <c r="F79" s="668"/>
      <c r="G79" s="668"/>
      <c r="H79" s="668"/>
      <c r="I79" s="35"/>
      <c r="J79" s="668"/>
      <c r="K79" s="668"/>
      <c r="L79" s="668"/>
      <c r="M79" s="668"/>
      <c r="N79" s="668"/>
    </row>
    <row r="80" spans="1:14" s="55" customFormat="1" hidden="1" x14ac:dyDescent="0.2">
      <c r="A80" s="668"/>
      <c r="B80" s="668"/>
      <c r="C80" s="668"/>
      <c r="D80" s="668"/>
      <c r="E80" s="668"/>
      <c r="F80" s="668"/>
      <c r="G80" s="668"/>
      <c r="H80" s="668"/>
      <c r="I80" s="35"/>
      <c r="J80" s="668"/>
      <c r="K80" s="668"/>
      <c r="L80" s="668"/>
      <c r="M80" s="668"/>
      <c r="N80" s="668"/>
    </row>
    <row r="81" spans="1:14" s="55" customFormat="1" hidden="1" x14ac:dyDescent="0.2">
      <c r="A81" s="668"/>
      <c r="B81" s="668"/>
      <c r="C81" s="668"/>
      <c r="D81" s="668"/>
      <c r="E81" s="668"/>
      <c r="F81" s="668"/>
      <c r="G81" s="668"/>
      <c r="H81" s="668"/>
      <c r="I81" s="35"/>
      <c r="J81" s="668"/>
      <c r="K81" s="668"/>
      <c r="L81" s="668"/>
      <c r="M81" s="668"/>
      <c r="N81" s="668"/>
    </row>
    <row r="82" spans="1:14" s="55" customFormat="1" hidden="1" x14ac:dyDescent="0.2">
      <c r="A82" s="668"/>
      <c r="B82" s="668"/>
      <c r="C82" s="668"/>
      <c r="D82" s="668"/>
      <c r="E82" s="668"/>
      <c r="F82" s="668"/>
      <c r="G82" s="668"/>
      <c r="H82" s="668"/>
      <c r="I82" s="35"/>
      <c r="J82" s="668"/>
      <c r="K82" s="668"/>
      <c r="L82" s="668"/>
      <c r="M82" s="668"/>
      <c r="N82" s="668"/>
    </row>
    <row r="83" spans="1:14" s="55" customFormat="1" hidden="1" x14ac:dyDescent="0.2">
      <c r="A83" s="668"/>
      <c r="B83" s="668"/>
      <c r="C83" s="668"/>
      <c r="D83" s="668"/>
      <c r="E83" s="668"/>
      <c r="F83" s="668"/>
      <c r="G83" s="668"/>
      <c r="H83" s="668"/>
      <c r="I83" s="35"/>
      <c r="J83" s="668"/>
      <c r="K83" s="668"/>
      <c r="L83" s="668"/>
      <c r="M83" s="668"/>
      <c r="N83" s="668"/>
    </row>
    <row r="84" spans="1:14" s="55" customFormat="1" hidden="1" x14ac:dyDescent="0.2">
      <c r="A84" s="668"/>
      <c r="B84" s="668"/>
      <c r="C84" s="668"/>
      <c r="D84" s="668"/>
      <c r="E84" s="668"/>
      <c r="F84" s="668"/>
      <c r="G84" s="668"/>
      <c r="H84" s="668"/>
      <c r="I84" s="35"/>
      <c r="J84" s="668"/>
      <c r="K84" s="668"/>
      <c r="L84" s="668"/>
      <c r="M84" s="668"/>
      <c r="N84" s="668"/>
    </row>
    <row r="85" spans="1:14" s="55" customFormat="1" hidden="1" x14ac:dyDescent="0.2">
      <c r="A85" s="668"/>
      <c r="B85" s="668"/>
      <c r="C85" s="668"/>
      <c r="D85" s="668"/>
      <c r="E85" s="668"/>
      <c r="F85" s="668"/>
      <c r="G85" s="668"/>
      <c r="H85" s="668"/>
      <c r="I85" s="35"/>
      <c r="J85" s="668"/>
      <c r="K85" s="668"/>
      <c r="L85" s="668"/>
      <c r="M85" s="668"/>
      <c r="N85" s="668"/>
    </row>
    <row r="86" spans="1:14" s="55" customFormat="1" hidden="1" x14ac:dyDescent="0.2">
      <c r="A86" s="668"/>
      <c r="B86" s="668"/>
      <c r="C86" s="668"/>
      <c r="D86" s="668"/>
      <c r="E86" s="668"/>
      <c r="F86" s="668"/>
      <c r="G86" s="668"/>
      <c r="H86" s="668"/>
      <c r="I86" s="35"/>
      <c r="J86" s="668"/>
      <c r="K86" s="668"/>
      <c r="L86" s="668"/>
      <c r="M86" s="668"/>
      <c r="N86" s="668"/>
    </row>
    <row r="87" spans="1:14" s="55" customFormat="1" hidden="1" x14ac:dyDescent="0.2">
      <c r="A87" s="668"/>
      <c r="B87" s="668"/>
      <c r="C87" s="668"/>
      <c r="D87" s="668"/>
      <c r="E87" s="668"/>
      <c r="F87" s="668"/>
      <c r="G87" s="668"/>
      <c r="H87" s="668"/>
      <c r="I87" s="35"/>
      <c r="J87" s="668"/>
      <c r="K87" s="668"/>
      <c r="L87" s="668"/>
      <c r="M87" s="668"/>
      <c r="N87" s="668"/>
    </row>
    <row r="88" spans="1:14" s="55" customFormat="1" hidden="1" x14ac:dyDescent="0.2">
      <c r="A88" s="668"/>
      <c r="B88" s="668"/>
      <c r="C88" s="668"/>
      <c r="D88" s="668"/>
      <c r="E88" s="668"/>
      <c r="F88" s="668"/>
      <c r="G88" s="668"/>
      <c r="H88" s="668"/>
      <c r="I88" s="35"/>
      <c r="J88" s="668"/>
      <c r="K88" s="668"/>
      <c r="L88" s="668"/>
      <c r="M88" s="668"/>
      <c r="N88" s="668"/>
    </row>
    <row r="89" spans="1:14" s="55" customFormat="1" hidden="1" x14ac:dyDescent="0.2">
      <c r="A89" s="668"/>
      <c r="B89" s="668"/>
      <c r="C89" s="668"/>
      <c r="D89" s="668"/>
      <c r="E89" s="668"/>
      <c r="F89" s="668"/>
      <c r="G89" s="668"/>
      <c r="H89" s="668"/>
      <c r="I89" s="35"/>
      <c r="J89" s="668"/>
      <c r="K89" s="668"/>
      <c r="L89" s="668"/>
      <c r="M89" s="668"/>
      <c r="N89" s="668"/>
    </row>
    <row r="90" spans="1:14" s="55" customFormat="1" hidden="1" x14ac:dyDescent="0.2">
      <c r="A90" s="668"/>
      <c r="B90" s="668"/>
      <c r="C90" s="668"/>
      <c r="D90" s="668"/>
      <c r="E90" s="668"/>
      <c r="F90" s="668"/>
      <c r="G90" s="668"/>
      <c r="H90" s="668"/>
      <c r="I90" s="35"/>
      <c r="J90" s="668"/>
      <c r="K90" s="668"/>
      <c r="L90" s="668"/>
      <c r="M90" s="668"/>
      <c r="N90" s="668"/>
    </row>
    <row r="91" spans="1:14" s="55" customFormat="1" hidden="1" x14ac:dyDescent="0.2">
      <c r="A91" s="668"/>
      <c r="B91" s="668"/>
      <c r="C91" s="668"/>
      <c r="D91" s="668"/>
      <c r="E91" s="668"/>
      <c r="F91" s="668"/>
      <c r="G91" s="668"/>
      <c r="H91" s="668"/>
      <c r="I91" s="35"/>
      <c r="J91" s="668"/>
      <c r="K91" s="668"/>
      <c r="L91" s="668"/>
      <c r="M91" s="668"/>
      <c r="N91" s="668"/>
    </row>
    <row r="92" spans="1:14" s="55" customFormat="1" hidden="1" x14ac:dyDescent="0.2">
      <c r="A92" s="668"/>
      <c r="B92" s="668"/>
      <c r="C92" s="668"/>
      <c r="D92" s="668"/>
      <c r="E92" s="668"/>
      <c r="F92" s="668"/>
      <c r="G92" s="668"/>
      <c r="H92" s="668"/>
      <c r="I92" s="35"/>
      <c r="J92" s="668"/>
      <c r="K92" s="668"/>
      <c r="L92" s="668"/>
      <c r="M92" s="668"/>
      <c r="N92" s="668"/>
    </row>
    <row r="93" spans="1:14" s="55" customFormat="1" hidden="1" x14ac:dyDescent="0.2">
      <c r="A93" s="668"/>
      <c r="B93" s="668"/>
      <c r="C93" s="668"/>
      <c r="D93" s="668"/>
      <c r="E93" s="668"/>
      <c r="F93" s="668"/>
      <c r="G93" s="668"/>
      <c r="H93" s="668"/>
      <c r="I93" s="35"/>
      <c r="J93" s="668"/>
      <c r="K93" s="668"/>
      <c r="L93" s="668"/>
      <c r="M93" s="668"/>
      <c r="N93" s="668"/>
    </row>
    <row r="94" spans="1:14" s="55" customFormat="1" hidden="1" x14ac:dyDescent="0.2">
      <c r="A94" s="668"/>
      <c r="B94" s="668"/>
      <c r="C94" s="668"/>
      <c r="D94" s="668"/>
      <c r="E94" s="668"/>
      <c r="F94" s="668"/>
      <c r="G94" s="668"/>
      <c r="H94" s="668"/>
      <c r="I94" s="35"/>
      <c r="J94" s="668"/>
      <c r="K94" s="668"/>
      <c r="L94" s="668"/>
      <c r="M94" s="668"/>
      <c r="N94" s="668"/>
    </row>
    <row r="95" spans="1:14" s="552" customFormat="1" hidden="1" x14ac:dyDescent="0.2">
      <c r="A95" s="668"/>
      <c r="B95" s="668"/>
      <c r="C95" s="668"/>
      <c r="D95" s="668"/>
      <c r="E95" s="668"/>
      <c r="F95" s="668"/>
      <c r="G95" s="668"/>
      <c r="H95" s="668"/>
      <c r="I95" s="35"/>
      <c r="J95" s="668"/>
      <c r="K95" s="668"/>
      <c r="L95" s="668"/>
      <c r="M95" s="668"/>
      <c r="N95" s="668"/>
    </row>
    <row r="96" spans="1:14" hidden="1" x14ac:dyDescent="0.2">
      <c r="A96" s="668"/>
      <c r="B96" s="668"/>
      <c r="C96" s="668"/>
      <c r="D96" s="668"/>
      <c r="E96" s="668"/>
      <c r="F96" s="668"/>
      <c r="G96" s="668"/>
      <c r="H96" s="668"/>
      <c r="I96" s="35"/>
      <c r="J96" s="668"/>
      <c r="K96" s="668"/>
      <c r="L96" s="668"/>
      <c r="M96" s="668"/>
      <c r="N96" s="668"/>
    </row>
    <row r="97" spans="1:14" hidden="1" x14ac:dyDescent="0.2">
      <c r="A97" s="668"/>
      <c r="B97" s="668"/>
      <c r="C97" s="668"/>
      <c r="D97" s="668"/>
      <c r="E97" s="668"/>
      <c r="F97" s="668"/>
      <c r="G97" s="668"/>
      <c r="H97" s="668"/>
      <c r="I97" s="35"/>
      <c r="J97" s="668"/>
      <c r="K97" s="668"/>
      <c r="L97" s="668"/>
      <c r="M97" s="668"/>
      <c r="N97" s="668"/>
    </row>
    <row r="98" spans="1:14" x14ac:dyDescent="0.2">
      <c r="A98" s="668"/>
      <c r="B98" s="668"/>
      <c r="C98" s="668"/>
      <c r="D98" s="668"/>
      <c r="E98" s="668"/>
      <c r="F98" s="668"/>
      <c r="G98" s="668"/>
      <c r="H98" s="668"/>
      <c r="I98" s="35"/>
      <c r="J98" s="668"/>
      <c r="K98" s="668"/>
      <c r="L98" s="668"/>
      <c r="M98" s="668"/>
      <c r="N98" s="668"/>
    </row>
    <row r="99" spans="1:14" x14ac:dyDescent="0.2">
      <c r="A99" s="553" t="s">
        <v>593</v>
      </c>
      <c r="B99" s="554"/>
      <c r="C99" s="525"/>
      <c r="D99" s="525"/>
      <c r="E99" s="525"/>
      <c r="F99" s="527"/>
      <c r="G99" s="550"/>
      <c r="H99" s="55"/>
      <c r="I99" s="35"/>
      <c r="J99" s="668"/>
      <c r="K99" s="668"/>
      <c r="L99" s="32"/>
      <c r="M99" s="668"/>
      <c r="N99" s="668"/>
    </row>
    <row r="100" spans="1:14" x14ac:dyDescent="0.2">
      <c r="A100" s="55"/>
      <c r="B100" s="55"/>
      <c r="C100" s="55"/>
      <c r="D100" s="55"/>
      <c r="E100" s="55"/>
      <c r="F100" s="55"/>
      <c r="G100" s="55"/>
      <c r="H100" s="55"/>
      <c r="I100" s="35"/>
      <c r="J100" s="668"/>
      <c r="K100" s="668"/>
      <c r="M100" s="668"/>
      <c r="N100" s="668"/>
    </row>
    <row r="101" spans="1:14" x14ac:dyDescent="0.2">
      <c r="A101" s="558" t="s">
        <v>378</v>
      </c>
      <c r="B101" s="556" t="str">
        <f>IFERROR(INDEX(B$1:B$100,MATCH(A101,I$1:I$100,0)),"")</f>
        <v>Mait Metsla, Matti Vinni</v>
      </c>
      <c r="C101" s="557">
        <v>10</v>
      </c>
      <c r="D101" s="55"/>
      <c r="E101" s="55"/>
      <c r="F101" s="557"/>
      <c r="G101" s="557"/>
      <c r="H101" s="55"/>
      <c r="I101" s="35"/>
      <c r="J101" s="668"/>
      <c r="K101" s="668"/>
      <c r="M101" s="668"/>
      <c r="N101" s="668"/>
    </row>
    <row r="102" spans="1:14" x14ac:dyDescent="0.2">
      <c r="A102" s="558"/>
      <c r="B102" s="647"/>
      <c r="C102" s="560" t="str">
        <f>IF(COUNT(C101,C103)=2,IF(C101&gt;C103,B101,B103),"")</f>
        <v>Elmo Lageda, Tõnu Piik</v>
      </c>
      <c r="D102" s="55"/>
      <c r="E102" s="55"/>
      <c r="F102" s="55"/>
      <c r="G102" s="557">
        <v>7</v>
      </c>
      <c r="H102" s="55"/>
      <c r="I102" s="55"/>
      <c r="J102" s="668"/>
      <c r="K102" s="668"/>
      <c r="L102" s="32"/>
      <c r="M102" s="668"/>
      <c r="N102" s="668"/>
    </row>
    <row r="103" spans="1:14" x14ac:dyDescent="0.2">
      <c r="A103" s="558" t="s">
        <v>384</v>
      </c>
      <c r="B103" s="561" t="str">
        <f>IFERROR(INDEX(B$1:B$100,MATCH(A103,I$1:I$100,0)),"")</f>
        <v>Elmo Lageda, Tõnu Piik</v>
      </c>
      <c r="C103" s="562">
        <v>13</v>
      </c>
      <c r="D103" s="646"/>
      <c r="E103" s="646"/>
      <c r="F103" s="648"/>
      <c r="G103" s="557"/>
      <c r="H103" s="55"/>
      <c r="I103" s="55"/>
      <c r="J103" s="668"/>
      <c r="K103" s="668"/>
      <c r="M103" s="668"/>
      <c r="N103" s="668"/>
    </row>
    <row r="104" spans="1:14" ht="13.5" thickBot="1" x14ac:dyDescent="0.25">
      <c r="A104" s="558"/>
      <c r="B104" s="557"/>
      <c r="C104" s="575"/>
      <c r="D104" s="554"/>
      <c r="E104" s="554"/>
      <c r="F104" s="576"/>
      <c r="G104" s="557"/>
      <c r="H104" s="567" t="str">
        <f>IF(COUNT(G102,G106)=2,IF(G102&gt;G106,C102,C106),"")</f>
        <v>Ivar Viljaste, Kristo Viljaste</v>
      </c>
      <c r="I104" s="55"/>
      <c r="J104" s="668"/>
      <c r="K104" s="668"/>
      <c r="M104" s="668"/>
      <c r="N104" s="668"/>
    </row>
    <row r="105" spans="1:14" x14ac:dyDescent="0.2">
      <c r="A105" s="558" t="s">
        <v>380</v>
      </c>
      <c r="B105" s="556" t="str">
        <f>IFERROR(INDEX(B$1:B$100,MATCH(A105,I$1:I$100,0)),"")</f>
        <v>Aigi Orro, Kalle Orro</v>
      </c>
      <c r="C105" s="557">
        <v>7</v>
      </c>
      <c r="D105" s="554"/>
      <c r="E105" s="554"/>
      <c r="F105" s="576"/>
      <c r="G105" s="577"/>
      <c r="H105" s="569" t="s">
        <v>383</v>
      </c>
      <c r="I105" s="845"/>
      <c r="J105" s="668"/>
      <c r="K105" s="668"/>
      <c r="M105" s="668"/>
      <c r="N105" s="668"/>
    </row>
    <row r="106" spans="1:14" x14ac:dyDescent="0.2">
      <c r="A106" s="558"/>
      <c r="B106" s="647"/>
      <c r="C106" s="560" t="str">
        <f>IF(COUNT(C105,C107)=2,IF(C105&gt;C107,B105,B107),"")</f>
        <v>Ivar Viljaste, Kristo Viljaste</v>
      </c>
      <c r="D106" s="842"/>
      <c r="E106" s="842"/>
      <c r="F106" s="566"/>
      <c r="G106" s="562">
        <v>13</v>
      </c>
      <c r="H106" s="55"/>
      <c r="I106" s="846"/>
      <c r="J106" s="668"/>
      <c r="K106" s="668"/>
      <c r="L106" s="32"/>
      <c r="M106" s="668"/>
      <c r="N106" s="668"/>
    </row>
    <row r="107" spans="1:14" ht="13.5" thickBot="1" x14ac:dyDescent="0.25">
      <c r="A107" s="558" t="s">
        <v>385</v>
      </c>
      <c r="B107" s="561" t="str">
        <f>IFERROR(INDEX(B$1:B$100,MATCH(A107,I$1:I$100,0)),"")</f>
        <v>Ivar Viljaste, Kristo Viljaste</v>
      </c>
      <c r="C107" s="562">
        <v>13</v>
      </c>
      <c r="D107" s="55"/>
      <c r="E107" s="55"/>
      <c r="F107" s="557"/>
      <c r="G107" s="575"/>
      <c r="H107" s="567" t="str">
        <f>IF(COUNT(G102,G106)=2,IF(G102&lt;G106,C102,C106),"")</f>
        <v>Elmo Lageda, Tõnu Piik</v>
      </c>
      <c r="I107" s="847"/>
      <c r="J107" s="668"/>
      <c r="K107" s="668"/>
      <c r="M107" s="668"/>
      <c r="N107" s="668"/>
    </row>
    <row r="108" spans="1:14" x14ac:dyDescent="0.2">
      <c r="A108" s="55"/>
      <c r="B108" s="557"/>
      <c r="C108" s="557"/>
      <c r="D108" s="55"/>
      <c r="E108" s="55"/>
      <c r="F108" s="557"/>
      <c r="G108" s="575"/>
      <c r="H108" s="569" t="s">
        <v>386</v>
      </c>
      <c r="J108" s="668"/>
      <c r="K108" s="668"/>
      <c r="L108" s="32"/>
      <c r="M108" s="668"/>
      <c r="N108" s="668"/>
    </row>
    <row r="109" spans="1:14" x14ac:dyDescent="0.2">
      <c r="A109" s="55"/>
      <c r="B109" s="557"/>
      <c r="C109" s="551" t="str">
        <f>IF(COUNT(C101,C103)=2,IF(C101&lt;C103,B101,B103),"")</f>
        <v>Mait Metsla, Matti Vinni</v>
      </c>
      <c r="D109" s="55"/>
      <c r="E109" s="55"/>
      <c r="F109" s="55"/>
      <c r="G109" s="557">
        <v>13</v>
      </c>
      <c r="H109" s="554"/>
      <c r="J109" s="668"/>
      <c r="K109" s="668"/>
      <c r="L109" s="32"/>
      <c r="M109" s="668"/>
      <c r="N109" s="668"/>
    </row>
    <row r="110" spans="1:14" ht="13.5" thickBot="1" x14ac:dyDescent="0.25">
      <c r="A110" s="55"/>
      <c r="B110" s="557"/>
      <c r="C110" s="646"/>
      <c r="D110" s="646"/>
      <c r="E110" s="646"/>
      <c r="F110" s="645"/>
      <c r="G110" s="571"/>
      <c r="H110" s="567" t="str">
        <f>IF(COUNT(G109,G111)=2,IF(G109&gt;G111,C109,C111),"")</f>
        <v>Mait Metsla, Matti Vinni</v>
      </c>
      <c r="J110" s="668"/>
      <c r="K110" s="668"/>
      <c r="L110" s="32"/>
      <c r="M110" s="668"/>
      <c r="N110" s="668"/>
    </row>
    <row r="111" spans="1:14" x14ac:dyDescent="0.2">
      <c r="A111" s="55"/>
      <c r="B111" s="557"/>
      <c r="C111" s="572" t="str">
        <f>IF(COUNT(C105,C107)=2,IF(C105&lt;C107,B105,B107),"")</f>
        <v>Aigi Orro, Kalle Orro</v>
      </c>
      <c r="D111" s="842"/>
      <c r="E111" s="842"/>
      <c r="F111" s="566"/>
      <c r="G111" s="562">
        <v>2</v>
      </c>
      <c r="H111" s="523" t="s">
        <v>388</v>
      </c>
      <c r="I111" s="845"/>
      <c r="J111" s="668"/>
      <c r="K111" s="668"/>
      <c r="L111" s="32"/>
      <c r="M111" s="668"/>
      <c r="N111" s="668"/>
    </row>
    <row r="112" spans="1:14" x14ac:dyDescent="0.2">
      <c r="A112" s="55"/>
      <c r="B112" s="55"/>
      <c r="C112" s="55"/>
      <c r="D112" s="55"/>
      <c r="E112" s="55"/>
      <c r="F112" s="55"/>
      <c r="G112" s="55"/>
      <c r="H112" s="554"/>
      <c r="I112" s="846"/>
      <c r="J112" s="668"/>
      <c r="K112" s="668"/>
      <c r="L112" s="32"/>
      <c r="M112" s="668"/>
      <c r="N112" s="668"/>
    </row>
    <row r="113" spans="1:14" ht="13.5" thickBot="1" x14ac:dyDescent="0.25">
      <c r="A113" s="55"/>
      <c r="B113" s="55"/>
      <c r="C113" s="554"/>
      <c r="D113" s="55"/>
      <c r="E113" s="55"/>
      <c r="F113" s="554"/>
      <c r="G113" s="55"/>
      <c r="H113" s="571" t="str">
        <f>IF(COUNT(G109,G111)=2,IF(G109&lt;G111,C109,C111),"")</f>
        <v>Aigi Orro, Kalle Orro</v>
      </c>
      <c r="I113" s="847"/>
      <c r="J113" s="668"/>
      <c r="K113" s="668"/>
      <c r="L113" s="32"/>
      <c r="M113" s="668"/>
      <c r="N113" s="668"/>
    </row>
    <row r="114" spans="1:14" x14ac:dyDescent="0.2">
      <c r="A114" s="55"/>
      <c r="B114" s="527"/>
      <c r="C114" s="527"/>
      <c r="D114" s="55"/>
      <c r="E114" s="55"/>
      <c r="F114" s="527"/>
      <c r="G114" s="528"/>
      <c r="H114" s="569" t="s">
        <v>389</v>
      </c>
      <c r="J114" s="668"/>
      <c r="K114" s="668"/>
      <c r="M114" s="668"/>
      <c r="N114" s="668"/>
    </row>
    <row r="115" spans="1:14" x14ac:dyDescent="0.2">
      <c r="A115" s="55"/>
      <c r="B115" s="55"/>
      <c r="C115" s="55"/>
      <c r="D115" s="55"/>
      <c r="E115" s="55"/>
      <c r="F115" s="55"/>
      <c r="G115" s="55"/>
      <c r="H115" s="55"/>
      <c r="J115" s="668"/>
      <c r="K115" s="668"/>
      <c r="M115" s="668"/>
      <c r="N115" s="668"/>
    </row>
    <row r="116" spans="1:14" x14ac:dyDescent="0.2">
      <c r="A116" s="843" t="s">
        <v>594</v>
      </c>
      <c r="B116" s="55"/>
      <c r="C116" s="55"/>
      <c r="D116" s="55"/>
      <c r="E116" s="55"/>
      <c r="F116" s="55"/>
      <c r="G116" s="55"/>
      <c r="H116" s="55"/>
      <c r="J116" s="668"/>
      <c r="K116" s="668"/>
      <c r="L116" s="668"/>
      <c r="M116" s="668"/>
      <c r="N116" s="668"/>
    </row>
    <row r="117" spans="1:14" x14ac:dyDescent="0.2">
      <c r="A117" s="55"/>
      <c r="B117" s="55"/>
      <c r="C117" s="55"/>
      <c r="D117" s="55"/>
      <c r="E117" s="55"/>
      <c r="F117" s="55"/>
      <c r="G117" s="554"/>
      <c r="H117" s="554"/>
      <c r="J117" s="668"/>
      <c r="K117" s="668"/>
      <c r="L117" s="668"/>
      <c r="M117" s="668"/>
      <c r="N117" s="668"/>
    </row>
    <row r="118" spans="1:14" x14ac:dyDescent="0.2">
      <c r="A118" s="558" t="s">
        <v>394</v>
      </c>
      <c r="B118" s="556" t="str">
        <f>IFERROR(INDEX(B$1:B$100,MATCH(A118,I$1:I$100,0)),"")</f>
        <v>Jaan Sepp, Oskar Sepp</v>
      </c>
      <c r="C118" s="557">
        <v>13</v>
      </c>
      <c r="D118" s="55"/>
      <c r="E118" s="55"/>
      <c r="F118" s="557"/>
      <c r="G118" s="557"/>
      <c r="H118" s="55"/>
      <c r="J118" s="668"/>
      <c r="K118" s="668"/>
      <c r="L118" s="668"/>
      <c r="M118" s="668"/>
      <c r="N118" s="668"/>
    </row>
    <row r="119" spans="1:14" x14ac:dyDescent="0.2">
      <c r="A119" s="558"/>
      <c r="B119" s="647"/>
      <c r="C119" s="560" t="str">
        <f>IF(COUNT(C118,C120)=2,IF(C118&gt;C120,B118,B120),"")</f>
        <v>Jaan Sepp, Oskar Sepp</v>
      </c>
      <c r="D119" s="55"/>
      <c r="E119" s="55"/>
      <c r="F119" s="55"/>
      <c r="G119" s="557">
        <v>13</v>
      </c>
      <c r="H119" s="55"/>
      <c r="J119" s="668"/>
      <c r="K119" s="668"/>
      <c r="L119" s="668"/>
      <c r="M119" s="668"/>
      <c r="N119" s="668"/>
    </row>
    <row r="120" spans="1:14" x14ac:dyDescent="0.2">
      <c r="A120" s="558" t="s">
        <v>400</v>
      </c>
      <c r="B120" s="561" t="str">
        <f>IFERROR(INDEX(B$1:B$100,MATCH(A120,I$1:I$100,0)),"")</f>
        <v>Boriss Klubov, Dmitri Kurajev</v>
      </c>
      <c r="C120" s="562">
        <v>9</v>
      </c>
      <c r="D120" s="646"/>
      <c r="E120" s="646"/>
      <c r="F120" s="648"/>
      <c r="G120" s="557"/>
      <c r="H120" s="55"/>
      <c r="J120" s="668"/>
      <c r="K120" s="668"/>
      <c r="L120" s="668"/>
      <c r="M120" s="668"/>
      <c r="N120" s="668"/>
    </row>
    <row r="121" spans="1:14" ht="13.5" thickBot="1" x14ac:dyDescent="0.25">
      <c r="A121" s="558"/>
      <c r="B121" s="557"/>
      <c r="C121" s="575"/>
      <c r="D121" s="554"/>
      <c r="E121" s="554"/>
      <c r="F121" s="576"/>
      <c r="G121" s="557"/>
      <c r="H121" s="567" t="str">
        <f>IF(COUNT(G119,G123)=2,IF(G119&gt;G123,C119,C123),"")</f>
        <v>Jaan Sepp, Oskar Sepp</v>
      </c>
      <c r="J121" s="668"/>
      <c r="K121" s="668"/>
      <c r="L121" s="668"/>
      <c r="M121" s="668"/>
      <c r="N121" s="668"/>
    </row>
    <row r="122" spans="1:14" x14ac:dyDescent="0.2">
      <c r="A122" s="558" t="s">
        <v>396</v>
      </c>
      <c r="B122" s="556" t="str">
        <f>IFERROR(INDEX(B$1:B$100,MATCH(A122,I$1:I$100,0)),"")</f>
        <v>Oleg Rõndenkov, Urmas Jõeäär</v>
      </c>
      <c r="C122" s="557">
        <v>5</v>
      </c>
      <c r="D122" s="554"/>
      <c r="E122" s="554"/>
      <c r="F122" s="576"/>
      <c r="G122" s="577"/>
      <c r="H122" s="569" t="s">
        <v>390</v>
      </c>
      <c r="I122" s="845"/>
      <c r="J122" s="668"/>
      <c r="K122" s="668"/>
      <c r="L122" s="668"/>
      <c r="M122" s="668"/>
      <c r="N122" s="668"/>
    </row>
    <row r="123" spans="1:14" x14ac:dyDescent="0.2">
      <c r="A123" s="558"/>
      <c r="B123" s="647"/>
      <c r="C123" s="560" t="str">
        <f>IF(COUNT(C122,C124)=2,IF(C122&gt;C124,B122,B124),"")</f>
        <v>Johannes Neiland, Kenneth Muusikus</v>
      </c>
      <c r="D123" s="842"/>
      <c r="E123" s="842"/>
      <c r="F123" s="566"/>
      <c r="G123" s="562">
        <v>7</v>
      </c>
      <c r="H123" s="55"/>
      <c r="I123" s="846"/>
      <c r="J123" s="668"/>
      <c r="K123" s="668"/>
      <c r="L123" s="668"/>
      <c r="M123" s="668"/>
      <c r="N123" s="668"/>
    </row>
    <row r="124" spans="1:14" ht="13.5" thickBot="1" x14ac:dyDescent="0.25">
      <c r="A124" s="558" t="s">
        <v>401</v>
      </c>
      <c r="B124" s="561" t="str">
        <f>IFERROR(INDEX(B$1:B$100,MATCH(A124,I$1:I$100,0)),"")</f>
        <v>Johannes Neiland, Kenneth Muusikus</v>
      </c>
      <c r="C124" s="562">
        <v>13</v>
      </c>
      <c r="D124" s="55"/>
      <c r="E124" s="55"/>
      <c r="F124" s="557"/>
      <c r="G124" s="575"/>
      <c r="H124" s="567" t="str">
        <f>IF(COUNT(G119,G123)=2,IF(G119&lt;G123,C119,C123),"")</f>
        <v>Johannes Neiland, Kenneth Muusikus</v>
      </c>
      <c r="I124" s="847"/>
      <c r="J124" s="668"/>
      <c r="K124" s="668"/>
      <c r="L124" s="668"/>
      <c r="M124" s="668"/>
      <c r="N124" s="668"/>
    </row>
    <row r="125" spans="1:14" x14ac:dyDescent="0.2">
      <c r="A125" s="55"/>
      <c r="B125" s="557"/>
      <c r="C125" s="557"/>
      <c r="D125" s="55"/>
      <c r="E125" s="55"/>
      <c r="F125" s="557"/>
      <c r="G125" s="575"/>
      <c r="H125" s="569" t="s">
        <v>391</v>
      </c>
      <c r="J125" s="668"/>
      <c r="K125" s="668"/>
      <c r="L125" s="668"/>
      <c r="M125" s="668"/>
      <c r="N125" s="668"/>
    </row>
    <row r="126" spans="1:14" x14ac:dyDescent="0.2">
      <c r="A126" s="55"/>
      <c r="B126" s="557"/>
      <c r="C126" s="551" t="str">
        <f>IF(COUNT(C118,C120)=2,IF(C118&lt;C120,B118,B120),"")</f>
        <v>Boriss Klubov, Dmitri Kurajev</v>
      </c>
      <c r="D126" s="55"/>
      <c r="E126" s="55"/>
      <c r="F126" s="55"/>
      <c r="G126" s="557">
        <v>13</v>
      </c>
      <c r="H126" s="554"/>
      <c r="J126" s="668"/>
      <c r="K126" s="668"/>
      <c r="L126" s="668"/>
      <c r="M126" s="668"/>
      <c r="N126" s="668"/>
    </row>
    <row r="127" spans="1:14" ht="13.5" thickBot="1" x14ac:dyDescent="0.25">
      <c r="A127" s="55"/>
      <c r="B127" s="557"/>
      <c r="C127" s="646"/>
      <c r="D127" s="646"/>
      <c r="E127" s="646"/>
      <c r="F127" s="645"/>
      <c r="G127" s="571"/>
      <c r="H127" s="567" t="str">
        <f>IF(COUNT(G126,G128)=2,IF(G126&gt;G128,C126,C128),"")</f>
        <v>Boriss Klubov, Dmitri Kurajev</v>
      </c>
      <c r="J127" s="668"/>
      <c r="K127" s="668"/>
      <c r="L127" s="668"/>
      <c r="M127" s="668"/>
      <c r="N127" s="668"/>
    </row>
    <row r="128" spans="1:14" x14ac:dyDescent="0.2">
      <c r="A128" s="55"/>
      <c r="B128" s="557"/>
      <c r="C128" s="572" t="str">
        <f>IF(COUNT(C122,C124)=2,IF(C122&lt;C124,B122,B124),"")</f>
        <v>Oleg Rõndenkov, Urmas Jõeäär</v>
      </c>
      <c r="D128" s="842"/>
      <c r="E128" s="842"/>
      <c r="F128" s="566"/>
      <c r="G128" s="650">
        <v>0</v>
      </c>
      <c r="H128" s="569" t="s">
        <v>392</v>
      </c>
      <c r="I128" s="845"/>
      <c r="J128" s="668"/>
      <c r="K128" s="668"/>
      <c r="L128" s="668"/>
      <c r="M128" s="668"/>
      <c r="N128" s="668"/>
    </row>
    <row r="129" spans="1:14" x14ac:dyDescent="0.2">
      <c r="A129" s="55"/>
      <c r="B129" s="55"/>
      <c r="C129" s="55"/>
      <c r="D129" s="55"/>
      <c r="E129" s="55"/>
      <c r="F129" s="55"/>
      <c r="G129" s="55"/>
      <c r="H129" s="554"/>
      <c r="I129" s="846"/>
      <c r="J129" s="668"/>
      <c r="K129" s="668"/>
      <c r="L129" s="668"/>
      <c r="M129" s="668"/>
      <c r="N129" s="668"/>
    </row>
    <row r="130" spans="1:14" ht="13.5" thickBot="1" x14ac:dyDescent="0.25">
      <c r="A130" s="55"/>
      <c r="B130" s="55"/>
      <c r="C130" s="554"/>
      <c r="D130" s="55"/>
      <c r="E130" s="55"/>
      <c r="F130" s="554"/>
      <c r="G130" s="55"/>
      <c r="H130" s="571" t="str">
        <f>IF(COUNT(G126,G128)=2,IF(G126&lt;G128,C126,C128),"")</f>
        <v>Oleg Rõndenkov, Urmas Jõeäär</v>
      </c>
      <c r="I130" s="847"/>
      <c r="J130" s="668"/>
      <c r="K130" s="668"/>
      <c r="L130" s="668"/>
      <c r="M130" s="668"/>
      <c r="N130" s="668"/>
    </row>
    <row r="131" spans="1:14" x14ac:dyDescent="0.2">
      <c r="A131" s="578"/>
      <c r="B131" s="527"/>
      <c r="C131" s="527"/>
      <c r="D131" s="506"/>
      <c r="E131" s="506"/>
      <c r="F131" s="527"/>
      <c r="G131" s="528"/>
      <c r="H131" s="569" t="s">
        <v>393</v>
      </c>
      <c r="J131" s="668"/>
      <c r="K131" s="668"/>
      <c r="L131" s="668"/>
      <c r="M131" s="668"/>
      <c r="N131" s="668"/>
    </row>
    <row r="132" spans="1:14" x14ac:dyDescent="0.2">
      <c r="J132" s="668"/>
      <c r="K132" s="668"/>
      <c r="L132" s="668"/>
      <c r="M132" s="668"/>
      <c r="N132" s="668"/>
    </row>
    <row r="133" spans="1:14" x14ac:dyDescent="0.2">
      <c r="A133" s="553" t="s">
        <v>646</v>
      </c>
      <c r="J133" s="668"/>
      <c r="K133" s="668"/>
      <c r="L133" s="668"/>
      <c r="M133" s="668"/>
      <c r="N133" s="668"/>
    </row>
    <row r="134" spans="1:14" x14ac:dyDescent="0.2">
      <c r="J134" s="668"/>
      <c r="K134" s="668"/>
      <c r="L134" s="668"/>
      <c r="M134" s="668"/>
      <c r="N134" s="668"/>
    </row>
    <row r="135" spans="1:14" x14ac:dyDescent="0.2">
      <c r="D135" s="652" t="s">
        <v>641</v>
      </c>
      <c r="E135" s="556" t="str">
        <f>IFERROR(INDEX(B$1:B$100,MATCH(D135,I$1:I$100,0)),"")</f>
        <v>Karla Purgats, Lemmit Toomra</v>
      </c>
      <c r="F135" s="55"/>
      <c r="G135" s="557">
        <v>13</v>
      </c>
      <c r="H135" s="55"/>
      <c r="I135" s="55"/>
      <c r="J135" s="668"/>
      <c r="K135" s="668"/>
      <c r="L135" s="668"/>
      <c r="M135" s="668"/>
      <c r="N135" s="668"/>
    </row>
    <row r="136" spans="1:14" ht="13.5" thickBot="1" x14ac:dyDescent="0.25">
      <c r="A136" s="668"/>
      <c r="B136" s="668"/>
      <c r="C136" s="668"/>
      <c r="D136" s="640"/>
      <c r="E136" s="646"/>
      <c r="F136" s="645"/>
      <c r="G136" s="571"/>
      <c r="H136" s="567" t="str">
        <f>IF(COUNT(G135,G137)=2,IF(G135&gt;G137,E135,E137),"")</f>
        <v>Karla Purgats, Lemmit Toomra</v>
      </c>
      <c r="I136" s="571"/>
      <c r="J136" s="668"/>
      <c r="K136" s="668"/>
      <c r="L136" s="668"/>
      <c r="M136" s="668"/>
      <c r="N136" s="668"/>
    </row>
    <row r="137" spans="1:14" x14ac:dyDescent="0.2">
      <c r="B137" s="554"/>
      <c r="C137" s="525"/>
      <c r="D137" s="918" t="s">
        <v>642</v>
      </c>
      <c r="E137" s="653" t="str">
        <f>IFERROR(INDEX(B$1:B$100,MATCH(D137,I$1:I$100,0)),"")</f>
        <v>Aarne Välja, Janek Tarto</v>
      </c>
      <c r="F137" s="566"/>
      <c r="G137" s="650">
        <v>0</v>
      </c>
      <c r="H137" s="523" t="s">
        <v>399</v>
      </c>
      <c r="I137" s="554"/>
      <c r="J137" s="668"/>
      <c r="K137" s="668"/>
      <c r="L137" s="668"/>
      <c r="M137" s="668"/>
      <c r="N137" s="668"/>
    </row>
    <row r="138" spans="1:14" x14ac:dyDescent="0.2">
      <c r="A138" s="55"/>
      <c r="B138" s="55"/>
      <c r="C138" s="55"/>
      <c r="D138" s="55"/>
      <c r="E138" s="55"/>
      <c r="F138" s="55"/>
      <c r="G138" s="55"/>
      <c r="H138" s="554"/>
      <c r="I138" s="554"/>
      <c r="J138" s="668"/>
      <c r="K138" s="668"/>
      <c r="L138" s="668"/>
      <c r="M138" s="668"/>
      <c r="N138" s="668"/>
    </row>
    <row r="139" spans="1:14" ht="13.5" thickBot="1" x14ac:dyDescent="0.25">
      <c r="H139" s="567" t="str">
        <f>IF(COUNT(G135,G137)=2,IF(G135&lt;G137,E135,E137),"")</f>
        <v>Aarne Välja, Janek Tarto</v>
      </c>
      <c r="I139" s="571"/>
      <c r="J139" s="668"/>
      <c r="K139" s="668"/>
      <c r="L139" s="668"/>
      <c r="M139" s="668"/>
      <c r="N139" s="668"/>
    </row>
    <row r="140" spans="1:14" x14ac:dyDescent="0.2">
      <c r="H140" s="538" t="s">
        <v>402</v>
      </c>
      <c r="I140" s="55"/>
      <c r="J140" s="668"/>
      <c r="K140" s="668"/>
      <c r="L140" s="668"/>
      <c r="M140" s="668"/>
      <c r="N140" s="668"/>
    </row>
    <row r="141" spans="1:14" hidden="1" x14ac:dyDescent="0.2">
      <c r="H141" s="55"/>
      <c r="I141" s="55"/>
      <c r="J141" s="668"/>
      <c r="K141" s="668"/>
      <c r="L141" s="668"/>
      <c r="M141" s="668"/>
      <c r="N141" s="668"/>
    </row>
    <row r="142" spans="1:14" hidden="1" x14ac:dyDescent="0.2">
      <c r="H142" s="55"/>
      <c r="I142" s="55"/>
      <c r="J142" s="668"/>
      <c r="K142" s="668"/>
      <c r="L142" s="668"/>
      <c r="M142" s="668"/>
      <c r="N142" s="668"/>
    </row>
    <row r="143" spans="1:14" hidden="1" x14ac:dyDescent="0.2">
      <c r="H143" s="55"/>
      <c r="I143" s="55"/>
      <c r="J143" s="668"/>
      <c r="K143" s="668"/>
      <c r="L143" s="668"/>
      <c r="M143" s="668"/>
      <c r="N143" s="668"/>
    </row>
    <row r="144" spans="1:14" hidden="1" x14ac:dyDescent="0.2">
      <c r="H144" s="55"/>
      <c r="I144" s="55"/>
      <c r="J144" s="668"/>
      <c r="K144" s="668"/>
      <c r="L144" s="668"/>
      <c r="M144" s="668"/>
      <c r="N144" s="668"/>
    </row>
    <row r="145" spans="1:14" hidden="1" x14ac:dyDescent="0.2">
      <c r="H145" s="55"/>
      <c r="I145" s="55"/>
      <c r="J145" s="668"/>
      <c r="K145" s="668"/>
      <c r="L145" s="668"/>
      <c r="M145" s="668"/>
      <c r="N145" s="668"/>
    </row>
    <row r="146" spans="1:14" hidden="1" x14ac:dyDescent="0.2">
      <c r="J146" s="668"/>
      <c r="K146" s="668"/>
      <c r="L146" s="668"/>
      <c r="M146" s="668"/>
      <c r="N146" s="668"/>
    </row>
    <row r="147" spans="1:14" hidden="1" x14ac:dyDescent="0.2">
      <c r="J147" s="668"/>
      <c r="K147" s="668"/>
      <c r="L147" s="668"/>
      <c r="M147" s="668"/>
      <c r="N147" s="668"/>
    </row>
    <row r="148" spans="1:14" hidden="1" x14ac:dyDescent="0.2">
      <c r="J148" s="668"/>
      <c r="K148" s="668"/>
      <c r="L148" s="668"/>
      <c r="M148" s="668"/>
      <c r="N148" s="668"/>
    </row>
    <row r="149" spans="1:14" hidden="1" x14ac:dyDescent="0.2">
      <c r="J149" s="668"/>
      <c r="K149" s="668"/>
      <c r="L149" s="668"/>
      <c r="M149" s="668"/>
      <c r="N149" s="668"/>
    </row>
    <row r="150" spans="1:14" hidden="1" x14ac:dyDescent="0.2">
      <c r="J150" s="668"/>
      <c r="K150" s="668"/>
      <c r="L150" s="668"/>
      <c r="M150" s="668"/>
      <c r="N150" s="668"/>
    </row>
    <row r="151" spans="1:14" hidden="1" x14ac:dyDescent="0.2">
      <c r="J151" s="668"/>
      <c r="K151" s="668"/>
      <c r="L151" s="668"/>
      <c r="M151" s="668"/>
      <c r="N151" s="668"/>
    </row>
    <row r="152" spans="1:14" hidden="1" x14ac:dyDescent="0.2">
      <c r="J152" s="668"/>
      <c r="K152" s="668"/>
      <c r="L152" s="668"/>
      <c r="M152" s="668"/>
      <c r="N152" s="668"/>
    </row>
    <row r="153" spans="1:14" hidden="1" x14ac:dyDescent="0.2">
      <c r="J153" s="668"/>
      <c r="K153" s="668"/>
      <c r="L153" s="668"/>
      <c r="M153" s="668"/>
      <c r="N153" s="668"/>
    </row>
    <row r="154" spans="1:14" hidden="1" x14ac:dyDescent="0.2">
      <c r="J154" s="668"/>
      <c r="K154" s="668"/>
      <c r="L154" s="668"/>
      <c r="M154" s="668"/>
      <c r="N154" s="668"/>
    </row>
    <row r="155" spans="1:14" hidden="1" x14ac:dyDescent="0.2">
      <c r="A155" s="55"/>
      <c r="B155" s="55"/>
      <c r="C155" s="55"/>
      <c r="D155" s="55"/>
      <c r="J155" s="668"/>
      <c r="K155" s="668"/>
      <c r="L155" s="668"/>
      <c r="M155" s="668"/>
      <c r="N155" s="668"/>
    </row>
    <row r="156" spans="1:14" hidden="1" x14ac:dyDescent="0.2">
      <c r="A156" s="55"/>
      <c r="B156" s="55"/>
      <c r="C156" s="55"/>
      <c r="D156" s="55"/>
      <c r="J156" s="668"/>
      <c r="K156" s="668"/>
      <c r="L156" s="668"/>
      <c r="M156" s="668"/>
      <c r="N156" s="668"/>
    </row>
    <row r="157" spans="1:14" hidden="1" x14ac:dyDescent="0.2">
      <c r="A157" s="55"/>
      <c r="B157" s="55"/>
      <c r="C157" s="55"/>
      <c r="D157" s="55"/>
      <c r="J157" s="668"/>
      <c r="K157" s="668"/>
      <c r="L157" s="668"/>
      <c r="M157" s="668"/>
      <c r="N157" s="668"/>
    </row>
    <row r="158" spans="1:14" hidden="1" x14ac:dyDescent="0.2">
      <c r="A158" s="55"/>
      <c r="B158" s="55"/>
      <c r="C158" s="55"/>
      <c r="D158" s="55"/>
      <c r="J158" s="668"/>
      <c r="K158" s="668"/>
      <c r="L158" s="668"/>
      <c r="M158" s="668"/>
      <c r="N158" s="668"/>
    </row>
    <row r="159" spans="1:14" hidden="1" x14ac:dyDescent="0.2"/>
    <row r="160" spans="1:14"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1:14" hidden="1" x14ac:dyDescent="0.2"/>
    <row r="194" spans="1:14" hidden="1" x14ac:dyDescent="0.2"/>
    <row r="195" spans="1:14" hidden="1" x14ac:dyDescent="0.2"/>
    <row r="196" spans="1:14" hidden="1" x14ac:dyDescent="0.2"/>
    <row r="197" spans="1:14" hidden="1" x14ac:dyDescent="0.2"/>
    <row r="198" spans="1:14" hidden="1" x14ac:dyDescent="0.2"/>
    <row r="199" spans="1:14" hidden="1" x14ac:dyDescent="0.2">
      <c r="A199" s="668"/>
      <c r="B199" s="668"/>
      <c r="C199" s="668"/>
      <c r="D199" s="668"/>
      <c r="E199" s="668"/>
      <c r="F199" s="668"/>
      <c r="L199" s="668"/>
      <c r="M199" s="668"/>
      <c r="N199" s="668"/>
    </row>
    <row r="200" spans="1:14" hidden="1" x14ac:dyDescent="0.2">
      <c r="A200" s="668"/>
      <c r="B200" s="668"/>
      <c r="C200" s="668"/>
      <c r="D200" s="668"/>
      <c r="E200" s="668"/>
      <c r="F200" s="668"/>
      <c r="L200" s="668"/>
      <c r="M200" s="668"/>
      <c r="N200" s="668"/>
    </row>
    <row r="201" spans="1:14" hidden="1" x14ac:dyDescent="0.2">
      <c r="A201" s="668"/>
      <c r="B201" s="668"/>
      <c r="C201" s="668"/>
      <c r="D201" s="668"/>
      <c r="E201" s="668"/>
      <c r="F201" s="668"/>
      <c r="L201" s="668"/>
      <c r="M201" s="668"/>
      <c r="N201" s="668"/>
    </row>
    <row r="202" spans="1:14" hidden="1" x14ac:dyDescent="0.2">
      <c r="A202" s="668"/>
      <c r="B202" s="668"/>
      <c r="C202" s="668"/>
      <c r="D202" s="668"/>
      <c r="E202" s="668"/>
      <c r="F202" s="668"/>
      <c r="L202" s="668"/>
      <c r="M202" s="668"/>
      <c r="N202" s="668"/>
    </row>
    <row r="203" spans="1:14" hidden="1" x14ac:dyDescent="0.2">
      <c r="A203" s="668"/>
      <c r="B203" s="668"/>
      <c r="C203" s="668"/>
      <c r="D203" s="668"/>
      <c r="E203" s="668"/>
      <c r="F203" s="668"/>
      <c r="L203" s="668"/>
      <c r="M203" s="668"/>
      <c r="N203" s="668"/>
    </row>
    <row r="204" spans="1:14" hidden="1" x14ac:dyDescent="0.2">
      <c r="A204" s="668"/>
      <c r="B204" s="668"/>
      <c r="C204" s="668"/>
      <c r="D204" s="668"/>
      <c r="E204" s="668"/>
      <c r="F204" s="668"/>
      <c r="L204" s="668"/>
      <c r="M204" s="668"/>
      <c r="N204" s="668"/>
    </row>
    <row r="205" spans="1:14" hidden="1" x14ac:dyDescent="0.2">
      <c r="A205" s="668"/>
      <c r="B205" s="668"/>
      <c r="C205" s="668"/>
      <c r="D205" s="668"/>
      <c r="E205" s="668"/>
      <c r="F205" s="668"/>
      <c r="L205" s="668"/>
      <c r="M205" s="668"/>
      <c r="N205" s="668"/>
    </row>
    <row r="206" spans="1:14" hidden="1" x14ac:dyDescent="0.2">
      <c r="A206" s="668"/>
      <c r="B206" s="668"/>
      <c r="C206" s="668"/>
      <c r="D206" s="668"/>
      <c r="E206" s="668"/>
      <c r="F206" s="668"/>
      <c r="L206" s="668"/>
      <c r="M206" s="668"/>
      <c r="N206" s="668"/>
    </row>
    <row r="207" spans="1:14" hidden="1" x14ac:dyDescent="0.2">
      <c r="A207" s="668"/>
      <c r="B207" s="668"/>
      <c r="C207" s="668"/>
      <c r="D207" s="668"/>
      <c r="E207" s="668"/>
      <c r="F207" s="668"/>
      <c r="L207" s="668"/>
      <c r="M207" s="668"/>
      <c r="N207" s="668"/>
    </row>
    <row r="208" spans="1:14" hidden="1" x14ac:dyDescent="0.2">
      <c r="A208" s="668"/>
      <c r="B208" s="668"/>
      <c r="C208" s="668"/>
      <c r="D208" s="668"/>
      <c r="E208" s="668"/>
      <c r="F208" s="668"/>
      <c r="L208" s="668"/>
      <c r="M208" s="668"/>
      <c r="N208" s="668"/>
    </row>
    <row r="209" spans="1:14" hidden="1" x14ac:dyDescent="0.2">
      <c r="A209" s="668"/>
      <c r="B209" s="668"/>
      <c r="C209" s="668"/>
      <c r="D209" s="668"/>
      <c r="E209" s="668"/>
      <c r="F209" s="668"/>
      <c r="G209" s="668"/>
      <c r="H209" s="668"/>
      <c r="I209" s="668"/>
      <c r="J209" s="668"/>
      <c r="K209" s="668"/>
      <c r="L209" s="668"/>
      <c r="M209" s="668"/>
      <c r="N209" s="668"/>
    </row>
    <row r="210" spans="1:14" hidden="1" x14ac:dyDescent="0.2">
      <c r="A210" s="668"/>
      <c r="B210" s="668"/>
      <c r="C210" s="668"/>
      <c r="D210" s="668"/>
      <c r="E210" s="668"/>
      <c r="F210" s="668"/>
      <c r="G210" s="668"/>
      <c r="H210" s="668"/>
      <c r="I210" s="668"/>
      <c r="J210" s="668"/>
      <c r="K210" s="668"/>
      <c r="L210" s="668"/>
      <c r="M210" s="668"/>
      <c r="N210" s="668"/>
    </row>
    <row r="211" spans="1:14" hidden="1" x14ac:dyDescent="0.2">
      <c r="A211" s="668"/>
      <c r="B211" s="668"/>
      <c r="C211" s="668"/>
      <c r="D211" s="668"/>
      <c r="E211" s="668"/>
      <c r="F211" s="668"/>
      <c r="G211" s="668"/>
      <c r="H211" s="668"/>
      <c r="I211" s="668"/>
      <c r="J211" s="668"/>
      <c r="K211" s="668"/>
      <c r="L211" s="668"/>
      <c r="M211" s="668"/>
      <c r="N211" s="668"/>
    </row>
    <row r="212" spans="1:14" hidden="1" x14ac:dyDescent="0.2">
      <c r="A212" s="668"/>
      <c r="B212" s="668"/>
      <c r="C212" s="668"/>
      <c r="D212" s="668"/>
      <c r="E212" s="668"/>
      <c r="F212" s="668"/>
      <c r="G212" s="668"/>
      <c r="H212" s="668"/>
      <c r="I212" s="668"/>
      <c r="J212" s="668"/>
      <c r="K212" s="668"/>
      <c r="L212" s="668"/>
      <c r="M212" s="668"/>
      <c r="N212" s="668"/>
    </row>
    <row r="213" spans="1:14" hidden="1" x14ac:dyDescent="0.2">
      <c r="A213" s="668"/>
      <c r="B213" s="668"/>
      <c r="C213" s="668"/>
      <c r="D213" s="668"/>
      <c r="E213" s="668"/>
      <c r="F213" s="668"/>
      <c r="G213" s="668"/>
      <c r="H213" s="668"/>
      <c r="I213" s="668"/>
      <c r="J213" s="668"/>
      <c r="K213" s="668"/>
      <c r="L213" s="668"/>
      <c r="M213" s="668"/>
      <c r="N213" s="668"/>
    </row>
    <row r="214" spans="1:14" hidden="1" x14ac:dyDescent="0.2">
      <c r="A214" s="668"/>
      <c r="B214" s="668"/>
      <c r="C214" s="668"/>
      <c r="D214" s="668"/>
      <c r="E214" s="668"/>
      <c r="F214" s="668"/>
      <c r="G214" s="668"/>
      <c r="H214" s="668"/>
      <c r="I214" s="668"/>
      <c r="J214" s="668"/>
      <c r="K214" s="668"/>
      <c r="L214" s="668"/>
      <c r="M214" s="668"/>
      <c r="N214" s="668"/>
    </row>
    <row r="215" spans="1:14" hidden="1" x14ac:dyDescent="0.2">
      <c r="A215" s="668"/>
      <c r="B215" s="668"/>
      <c r="C215" s="668"/>
      <c r="D215" s="668"/>
      <c r="E215" s="668"/>
      <c r="F215" s="668"/>
      <c r="G215" s="668"/>
      <c r="H215" s="668"/>
      <c r="I215" s="668"/>
      <c r="J215" s="668"/>
      <c r="K215" s="668"/>
      <c r="L215" s="668"/>
      <c r="M215" s="668"/>
      <c r="N215" s="668"/>
    </row>
    <row r="216" spans="1:14" hidden="1" x14ac:dyDescent="0.2">
      <c r="A216" s="668"/>
      <c r="B216" s="668"/>
      <c r="C216" s="668"/>
      <c r="D216" s="668"/>
      <c r="E216" s="668"/>
      <c r="F216" s="668"/>
      <c r="G216" s="668"/>
      <c r="H216" s="668"/>
      <c r="I216" s="668"/>
      <c r="J216" s="668"/>
      <c r="K216" s="668"/>
      <c r="L216" s="668"/>
      <c r="M216" s="668"/>
      <c r="N216" s="668"/>
    </row>
    <row r="217" spans="1:14" hidden="1" x14ac:dyDescent="0.2">
      <c r="A217" s="668"/>
      <c r="B217" s="668"/>
      <c r="C217" s="668"/>
      <c r="D217" s="668"/>
      <c r="E217" s="668"/>
      <c r="F217" s="668"/>
      <c r="G217" s="668"/>
      <c r="H217" s="668"/>
      <c r="I217" s="668"/>
      <c r="J217" s="668"/>
      <c r="K217" s="668"/>
      <c r="L217" s="668"/>
      <c r="M217" s="668"/>
      <c r="N217" s="668"/>
    </row>
    <row r="218" spans="1:14" hidden="1" x14ac:dyDescent="0.2">
      <c r="A218" s="668"/>
      <c r="B218" s="668"/>
      <c r="C218" s="668"/>
      <c r="D218" s="668"/>
      <c r="E218" s="668"/>
      <c r="F218" s="668"/>
      <c r="G218" s="668"/>
      <c r="H218" s="668"/>
      <c r="I218" s="668"/>
      <c r="J218" s="668"/>
      <c r="K218" s="668"/>
      <c r="L218" s="668"/>
      <c r="M218" s="668"/>
      <c r="N218" s="668"/>
    </row>
    <row r="219" spans="1:14" hidden="1" x14ac:dyDescent="0.2">
      <c r="A219" s="668"/>
      <c r="B219" s="668"/>
      <c r="C219" s="668"/>
      <c r="D219" s="668"/>
      <c r="E219" s="668"/>
      <c r="F219" s="668"/>
      <c r="G219" s="668"/>
      <c r="H219" s="668"/>
      <c r="I219" s="668"/>
      <c r="J219" s="668"/>
      <c r="K219" s="668"/>
      <c r="L219" s="668"/>
      <c r="M219" s="668"/>
      <c r="N219" s="668"/>
    </row>
    <row r="220" spans="1:14" hidden="1" x14ac:dyDescent="0.2">
      <c r="A220" s="668"/>
      <c r="B220" s="668"/>
      <c r="C220" s="668"/>
      <c r="D220" s="668"/>
      <c r="E220" s="668"/>
      <c r="F220" s="668"/>
      <c r="G220" s="668"/>
      <c r="H220" s="668"/>
      <c r="I220" s="668"/>
      <c r="J220" s="668"/>
      <c r="K220" s="668"/>
      <c r="L220" s="668"/>
      <c r="M220" s="668"/>
      <c r="N220" s="668"/>
    </row>
    <row r="221" spans="1:14" hidden="1" x14ac:dyDescent="0.2">
      <c r="A221" s="668"/>
      <c r="B221" s="668"/>
      <c r="C221" s="668"/>
      <c r="D221" s="668"/>
      <c r="E221" s="668"/>
      <c r="F221" s="668"/>
      <c r="G221" s="668"/>
      <c r="H221" s="668"/>
      <c r="I221" s="668"/>
      <c r="J221" s="668"/>
      <c r="K221" s="668"/>
      <c r="L221" s="668"/>
      <c r="M221" s="668"/>
      <c r="N221" s="668"/>
    </row>
    <row r="222" spans="1:14" hidden="1" x14ac:dyDescent="0.2">
      <c r="A222" s="668"/>
      <c r="B222" s="668"/>
      <c r="C222" s="668"/>
      <c r="D222" s="668"/>
      <c r="E222" s="668"/>
      <c r="F222" s="668"/>
      <c r="G222" s="668"/>
      <c r="H222" s="668"/>
      <c r="I222" s="668"/>
      <c r="J222" s="668"/>
      <c r="K222" s="668"/>
      <c r="L222" s="668"/>
      <c r="M222" s="668"/>
      <c r="N222" s="668"/>
    </row>
    <row r="223" spans="1:14" hidden="1" x14ac:dyDescent="0.2">
      <c r="A223" s="668"/>
      <c r="B223" s="668"/>
      <c r="C223" s="668"/>
      <c r="D223" s="668"/>
      <c r="E223" s="668"/>
      <c r="F223" s="668"/>
      <c r="G223" s="668"/>
      <c r="H223" s="668"/>
      <c r="I223" s="668"/>
      <c r="J223" s="668"/>
      <c r="K223" s="668"/>
      <c r="L223" s="668"/>
      <c r="M223" s="668"/>
      <c r="N223" s="668"/>
    </row>
    <row r="224" spans="1:14" hidden="1" x14ac:dyDescent="0.2">
      <c r="A224" s="668"/>
      <c r="B224" s="668"/>
      <c r="C224" s="668"/>
      <c r="D224" s="668"/>
      <c r="E224" s="668"/>
      <c r="F224" s="668"/>
      <c r="G224" s="668"/>
      <c r="H224" s="668"/>
      <c r="I224" s="668"/>
      <c r="J224" s="668"/>
      <c r="K224" s="668"/>
      <c r="L224" s="668"/>
      <c r="M224" s="668"/>
      <c r="N224" s="668"/>
    </row>
    <row r="225" spans="1:14" hidden="1" x14ac:dyDescent="0.2">
      <c r="A225" s="668"/>
      <c r="B225" s="668"/>
      <c r="C225" s="668"/>
      <c r="D225" s="668"/>
      <c r="E225" s="668"/>
      <c r="F225" s="668"/>
      <c r="G225" s="668"/>
      <c r="H225" s="668"/>
      <c r="I225" s="668"/>
      <c r="J225" s="668"/>
      <c r="K225" s="668"/>
      <c r="L225" s="668"/>
      <c r="M225" s="668"/>
      <c r="N225" s="668"/>
    </row>
    <row r="226" spans="1:14" hidden="1" x14ac:dyDescent="0.2">
      <c r="A226" s="668"/>
      <c r="B226" s="668"/>
      <c r="C226" s="668"/>
      <c r="D226" s="668"/>
      <c r="E226" s="668"/>
      <c r="F226" s="668"/>
      <c r="G226" s="668"/>
      <c r="H226" s="668"/>
      <c r="I226" s="668"/>
      <c r="J226" s="668"/>
      <c r="K226" s="668"/>
      <c r="L226" s="668"/>
      <c r="M226" s="668"/>
      <c r="N226" s="668"/>
    </row>
    <row r="227" spans="1:14" hidden="1" x14ac:dyDescent="0.2">
      <c r="A227" s="668"/>
      <c r="B227" s="668"/>
      <c r="C227" s="668"/>
      <c r="D227" s="668"/>
      <c r="E227" s="668"/>
      <c r="F227" s="668"/>
      <c r="G227" s="668"/>
      <c r="H227" s="668"/>
      <c r="I227" s="668"/>
      <c r="J227" s="668"/>
      <c r="K227" s="668"/>
      <c r="L227" s="668"/>
      <c r="M227" s="668"/>
      <c r="N227" s="668"/>
    </row>
    <row r="228" spans="1:14" hidden="1" x14ac:dyDescent="0.2">
      <c r="A228" s="668"/>
      <c r="B228" s="668"/>
      <c r="C228" s="668"/>
      <c r="D228" s="668"/>
      <c r="E228" s="668"/>
      <c r="F228" s="668"/>
      <c r="G228" s="668"/>
      <c r="H228" s="668"/>
      <c r="I228" s="668"/>
      <c r="J228" s="668"/>
      <c r="K228" s="668"/>
      <c r="L228" s="668"/>
      <c r="M228" s="668"/>
      <c r="N228" s="668"/>
    </row>
    <row r="229" spans="1:14" hidden="1" x14ac:dyDescent="0.2">
      <c r="A229" s="668"/>
      <c r="B229" s="668"/>
      <c r="C229" s="668"/>
      <c r="D229" s="668"/>
      <c r="E229" s="668"/>
      <c r="F229" s="668"/>
      <c r="G229" s="668"/>
      <c r="H229" s="668"/>
      <c r="I229" s="668"/>
      <c r="J229" s="668"/>
      <c r="K229" s="668"/>
      <c r="L229" s="668"/>
      <c r="M229" s="668"/>
      <c r="N229" s="668"/>
    </row>
    <row r="230" spans="1:14" hidden="1" x14ac:dyDescent="0.2">
      <c r="A230" s="668"/>
      <c r="B230" s="668"/>
      <c r="C230" s="668"/>
      <c r="D230" s="668"/>
      <c r="E230" s="668"/>
      <c r="F230" s="668"/>
      <c r="G230" s="668"/>
      <c r="H230" s="668"/>
      <c r="I230" s="668"/>
      <c r="J230" s="668"/>
      <c r="K230" s="668"/>
      <c r="L230" s="668"/>
      <c r="M230" s="668"/>
      <c r="N230" s="668"/>
    </row>
    <row r="231" spans="1:14" hidden="1" x14ac:dyDescent="0.2">
      <c r="A231" s="668"/>
      <c r="B231" s="668"/>
      <c r="C231" s="668"/>
      <c r="D231" s="668"/>
      <c r="E231" s="668"/>
      <c r="F231" s="668"/>
      <c r="G231" s="668"/>
      <c r="H231" s="668"/>
      <c r="I231" s="668"/>
      <c r="J231" s="668"/>
      <c r="K231" s="668"/>
      <c r="L231" s="668"/>
      <c r="M231" s="668"/>
      <c r="N231" s="668"/>
    </row>
    <row r="232" spans="1:14" hidden="1" x14ac:dyDescent="0.2">
      <c r="A232" s="668"/>
      <c r="B232" s="668"/>
      <c r="C232" s="668"/>
      <c r="D232" s="668"/>
      <c r="E232" s="668"/>
      <c r="F232" s="668"/>
      <c r="G232" s="668"/>
      <c r="H232" s="668"/>
      <c r="I232" s="668"/>
      <c r="J232" s="668"/>
      <c r="K232" s="668"/>
      <c r="L232" s="668"/>
      <c r="M232" s="668"/>
      <c r="N232" s="668"/>
    </row>
    <row r="233" spans="1:14" hidden="1" x14ac:dyDescent="0.2">
      <c r="A233" s="668"/>
      <c r="B233" s="668"/>
      <c r="C233" s="668"/>
      <c r="D233" s="668"/>
      <c r="E233" s="668"/>
      <c r="F233" s="668"/>
      <c r="G233" s="668"/>
      <c r="H233" s="668"/>
      <c r="I233" s="668"/>
      <c r="J233" s="668"/>
      <c r="K233" s="668"/>
      <c r="L233" s="668"/>
      <c r="M233" s="668"/>
      <c r="N233" s="668"/>
    </row>
    <row r="234" spans="1:14" hidden="1" x14ac:dyDescent="0.2">
      <c r="A234" s="668"/>
      <c r="B234" s="668"/>
      <c r="C234" s="668"/>
      <c r="D234" s="668"/>
      <c r="E234" s="668"/>
      <c r="F234" s="668"/>
      <c r="G234" s="668"/>
      <c r="H234" s="668"/>
      <c r="I234" s="668"/>
      <c r="J234" s="668"/>
      <c r="K234" s="668"/>
      <c r="L234" s="668"/>
      <c r="M234" s="668"/>
      <c r="N234" s="668"/>
    </row>
    <row r="235" spans="1:14" hidden="1" x14ac:dyDescent="0.2">
      <c r="A235" s="668"/>
      <c r="B235" s="668"/>
      <c r="C235" s="668"/>
      <c r="D235" s="668"/>
      <c r="E235" s="668"/>
      <c r="F235" s="668"/>
      <c r="G235" s="668"/>
      <c r="H235" s="668"/>
      <c r="I235" s="668"/>
      <c r="J235" s="668"/>
      <c r="K235" s="668"/>
      <c r="L235" s="668"/>
      <c r="M235" s="668"/>
      <c r="N235" s="668"/>
    </row>
    <row r="236" spans="1:14" hidden="1" x14ac:dyDescent="0.2">
      <c r="A236" s="668"/>
      <c r="B236" s="668"/>
      <c r="C236" s="668"/>
      <c r="D236" s="668"/>
      <c r="E236" s="668"/>
      <c r="F236" s="668"/>
      <c r="G236" s="668"/>
      <c r="H236" s="668"/>
      <c r="I236" s="668"/>
      <c r="J236" s="668"/>
      <c r="K236" s="668"/>
      <c r="L236" s="668"/>
      <c r="M236" s="668"/>
      <c r="N236" s="668"/>
    </row>
    <row r="237" spans="1:14" hidden="1" x14ac:dyDescent="0.2">
      <c r="A237" s="668"/>
      <c r="B237" s="668"/>
      <c r="C237" s="668"/>
      <c r="D237" s="668"/>
      <c r="E237" s="668"/>
      <c r="F237" s="668"/>
      <c r="G237" s="668"/>
      <c r="H237" s="668"/>
      <c r="I237" s="668"/>
      <c r="J237" s="668"/>
      <c r="K237" s="668"/>
      <c r="L237" s="668"/>
      <c r="M237" s="668"/>
      <c r="N237" s="668"/>
    </row>
    <row r="238" spans="1:14" hidden="1" x14ac:dyDescent="0.2">
      <c r="A238" s="668"/>
      <c r="B238" s="668"/>
      <c r="C238" s="668"/>
      <c r="D238" s="668"/>
      <c r="E238" s="668"/>
      <c r="F238" s="668"/>
      <c r="G238" s="668"/>
      <c r="H238" s="668"/>
      <c r="I238" s="668"/>
      <c r="J238" s="668"/>
      <c r="K238" s="668"/>
      <c r="L238" s="668"/>
      <c r="M238" s="668"/>
      <c r="N238" s="668"/>
    </row>
    <row r="239" spans="1:14" hidden="1" x14ac:dyDescent="0.2">
      <c r="A239" s="668"/>
      <c r="B239" s="668"/>
      <c r="C239" s="668"/>
      <c r="D239" s="668"/>
      <c r="E239" s="668"/>
      <c r="F239" s="668"/>
      <c r="G239" s="668"/>
      <c r="H239" s="668"/>
      <c r="I239" s="668"/>
      <c r="J239" s="668"/>
      <c r="K239" s="668"/>
      <c r="L239" s="668"/>
      <c r="M239" s="668"/>
      <c r="N239" s="668"/>
    </row>
    <row r="240" spans="1:14" hidden="1" x14ac:dyDescent="0.2">
      <c r="A240" s="668"/>
      <c r="B240" s="668"/>
      <c r="C240" s="668"/>
      <c r="D240" s="668"/>
      <c r="E240" s="668"/>
      <c r="F240" s="668"/>
      <c r="G240" s="668"/>
      <c r="H240" s="668"/>
      <c r="I240" s="668"/>
      <c r="J240" s="668"/>
      <c r="K240" s="668"/>
      <c r="L240" s="668"/>
      <c r="M240" s="668"/>
      <c r="N240" s="668"/>
    </row>
    <row r="241" spans="1:14" hidden="1" x14ac:dyDescent="0.2">
      <c r="A241" s="668"/>
      <c r="B241" s="668"/>
      <c r="C241" s="668"/>
      <c r="D241" s="668"/>
      <c r="E241" s="668"/>
      <c r="F241" s="668"/>
      <c r="G241" s="668"/>
      <c r="H241" s="668"/>
      <c r="I241" s="668"/>
      <c r="J241" s="668"/>
      <c r="K241" s="668"/>
      <c r="L241" s="668"/>
      <c r="M241" s="668"/>
      <c r="N241" s="668"/>
    </row>
    <row r="242" spans="1:14" hidden="1" x14ac:dyDescent="0.2">
      <c r="A242" s="668"/>
      <c r="B242" s="668"/>
      <c r="C242" s="668"/>
      <c r="D242" s="668"/>
      <c r="E242" s="668"/>
      <c r="F242" s="668"/>
      <c r="G242" s="668"/>
      <c r="H242" s="668"/>
      <c r="I242" s="668"/>
      <c r="J242" s="668"/>
      <c r="K242" s="668"/>
      <c r="L242" s="668"/>
      <c r="M242" s="668"/>
      <c r="N242" s="668"/>
    </row>
    <row r="243" spans="1:14" hidden="1" x14ac:dyDescent="0.2">
      <c r="A243" s="668"/>
      <c r="B243" s="668"/>
      <c r="C243" s="668"/>
      <c r="D243" s="668"/>
      <c r="E243" s="668"/>
      <c r="F243" s="668"/>
      <c r="G243" s="668"/>
      <c r="H243" s="668"/>
      <c r="I243" s="668"/>
      <c r="J243" s="668"/>
      <c r="K243" s="668"/>
      <c r="L243" s="668"/>
      <c r="M243" s="668"/>
      <c r="N243" s="668"/>
    </row>
    <row r="244" spans="1:14" hidden="1" x14ac:dyDescent="0.2">
      <c r="A244" s="668"/>
      <c r="B244" s="668"/>
      <c r="C244" s="668"/>
      <c r="D244" s="668"/>
      <c r="E244" s="668"/>
      <c r="F244" s="668"/>
      <c r="G244" s="668"/>
      <c r="H244" s="668"/>
      <c r="I244" s="668"/>
      <c r="J244" s="668"/>
      <c r="K244" s="668"/>
      <c r="L244" s="668"/>
      <c r="M244" s="668"/>
      <c r="N244" s="668"/>
    </row>
    <row r="245" spans="1:14" hidden="1" x14ac:dyDescent="0.2">
      <c r="A245" s="668"/>
      <c r="B245" s="668"/>
      <c r="C245" s="668"/>
      <c r="D245" s="668"/>
      <c r="E245" s="668"/>
      <c r="F245" s="668"/>
      <c r="G245" s="668"/>
      <c r="H245" s="668"/>
      <c r="I245" s="668"/>
      <c r="J245" s="668"/>
      <c r="K245" s="668"/>
      <c r="L245" s="668"/>
      <c r="M245" s="668"/>
      <c r="N245" s="668"/>
    </row>
    <row r="246" spans="1:14" hidden="1" x14ac:dyDescent="0.2">
      <c r="A246" s="668"/>
      <c r="B246" s="668"/>
      <c r="C246" s="668"/>
      <c r="D246" s="668"/>
      <c r="E246" s="668"/>
      <c r="F246" s="668"/>
      <c r="G246" s="668"/>
      <c r="H246" s="668"/>
      <c r="I246" s="668"/>
      <c r="J246" s="668"/>
      <c r="K246" s="668"/>
      <c r="L246" s="668"/>
      <c r="M246" s="668"/>
      <c r="N246" s="668"/>
    </row>
    <row r="247" spans="1:14" hidden="1" x14ac:dyDescent="0.2">
      <c r="A247" s="668"/>
      <c r="B247" s="668"/>
      <c r="C247" s="668"/>
      <c r="D247" s="668"/>
      <c r="E247" s="668"/>
      <c r="F247" s="668"/>
      <c r="G247" s="668"/>
      <c r="H247" s="668"/>
      <c r="I247" s="668"/>
      <c r="J247" s="668"/>
      <c r="K247" s="668"/>
      <c r="L247" s="668"/>
      <c r="M247" s="668"/>
      <c r="N247" s="668"/>
    </row>
    <row r="248" spans="1:14" hidden="1" x14ac:dyDescent="0.2">
      <c r="A248" s="668"/>
      <c r="B248" s="668"/>
      <c r="C248" s="668"/>
      <c r="D248" s="668"/>
      <c r="E248" s="668"/>
      <c r="F248" s="668"/>
      <c r="G248" s="668"/>
      <c r="H248" s="668"/>
      <c r="I248" s="668"/>
      <c r="J248" s="668"/>
      <c r="K248" s="668"/>
      <c r="L248" s="668"/>
      <c r="M248" s="668"/>
      <c r="N248" s="668"/>
    </row>
    <row r="249" spans="1:14" hidden="1" x14ac:dyDescent="0.2">
      <c r="A249" s="668"/>
      <c r="B249" s="668"/>
      <c r="C249" s="668"/>
      <c r="D249" s="668"/>
      <c r="E249" s="668"/>
      <c r="F249" s="668"/>
      <c r="G249" s="668"/>
      <c r="H249" s="668"/>
      <c r="I249" s="668"/>
      <c r="J249" s="668"/>
      <c r="K249" s="668"/>
      <c r="L249" s="668"/>
      <c r="M249" s="668"/>
      <c r="N249" s="668"/>
    </row>
    <row r="250" spans="1:14" hidden="1" x14ac:dyDescent="0.2">
      <c r="A250" s="668"/>
      <c r="B250" s="668"/>
      <c r="C250" s="668"/>
      <c r="D250" s="668"/>
      <c r="E250" s="668"/>
      <c r="F250" s="668"/>
      <c r="G250" s="668"/>
      <c r="H250" s="668"/>
      <c r="I250" s="668"/>
      <c r="J250" s="668"/>
      <c r="K250" s="668"/>
      <c r="L250" s="668"/>
      <c r="M250" s="668"/>
      <c r="N250" s="668"/>
    </row>
    <row r="251" spans="1:14" hidden="1" x14ac:dyDescent="0.2">
      <c r="A251" s="668"/>
      <c r="B251" s="668"/>
      <c r="C251" s="668"/>
      <c r="D251" s="668"/>
      <c r="E251" s="668"/>
      <c r="F251" s="668"/>
      <c r="G251" s="668"/>
      <c r="H251" s="668"/>
      <c r="I251" s="668"/>
      <c r="J251" s="668"/>
      <c r="K251" s="668"/>
      <c r="L251" s="668"/>
      <c r="M251" s="668"/>
      <c r="N251" s="668"/>
    </row>
    <row r="252" spans="1:14" hidden="1" x14ac:dyDescent="0.2">
      <c r="A252" s="668"/>
      <c r="B252" s="668"/>
      <c r="C252" s="668"/>
      <c r="D252" s="668"/>
      <c r="E252" s="668"/>
      <c r="F252" s="668"/>
      <c r="G252" s="668"/>
      <c r="H252" s="668"/>
      <c r="I252" s="668"/>
      <c r="J252" s="668"/>
      <c r="K252" s="668"/>
      <c r="L252" s="668"/>
      <c r="M252" s="668"/>
      <c r="N252" s="668"/>
    </row>
    <row r="253" spans="1:14" hidden="1" x14ac:dyDescent="0.2">
      <c r="A253" s="668"/>
      <c r="B253" s="668"/>
      <c r="C253" s="668"/>
      <c r="D253" s="668"/>
      <c r="E253" s="668"/>
      <c r="F253" s="668"/>
      <c r="G253" s="668"/>
      <c r="H253" s="668"/>
      <c r="I253" s="668"/>
      <c r="J253" s="668"/>
      <c r="K253" s="668"/>
      <c r="L253" s="668"/>
      <c r="M253" s="668"/>
      <c r="N253" s="668"/>
    </row>
    <row r="254" spans="1:14" hidden="1" x14ac:dyDescent="0.2">
      <c r="A254" s="668"/>
      <c r="B254" s="668"/>
      <c r="C254" s="668"/>
      <c r="D254" s="668"/>
      <c r="E254" s="668"/>
      <c r="F254" s="668"/>
      <c r="G254" s="668"/>
      <c r="H254" s="668"/>
      <c r="I254" s="668"/>
      <c r="J254" s="668"/>
      <c r="K254" s="668"/>
      <c r="L254" s="668"/>
      <c r="M254" s="668"/>
      <c r="N254" s="668"/>
    </row>
    <row r="255" spans="1:14" hidden="1" x14ac:dyDescent="0.2">
      <c r="A255" s="668"/>
      <c r="B255" s="668"/>
      <c r="C255" s="668"/>
      <c r="D255" s="668"/>
      <c r="E255" s="668"/>
      <c r="F255" s="668"/>
      <c r="G255" s="668"/>
      <c r="H255" s="668"/>
      <c r="I255" s="668"/>
      <c r="J255" s="668"/>
      <c r="K255" s="668"/>
      <c r="L255" s="668"/>
      <c r="M255" s="668"/>
      <c r="N255" s="668"/>
    </row>
    <row r="256" spans="1:14" hidden="1" x14ac:dyDescent="0.2">
      <c r="A256" s="668"/>
      <c r="B256" s="668"/>
      <c r="C256" s="668"/>
      <c r="D256" s="668"/>
      <c r="E256" s="668"/>
      <c r="F256" s="668"/>
      <c r="G256" s="668"/>
      <c r="H256" s="668"/>
      <c r="I256" s="668"/>
      <c r="J256" s="668"/>
      <c r="K256" s="668"/>
      <c r="L256" s="668"/>
      <c r="M256" s="668"/>
      <c r="N256" s="668"/>
    </row>
    <row r="257" spans="1:14" hidden="1" x14ac:dyDescent="0.2">
      <c r="A257" s="668"/>
      <c r="B257" s="668"/>
      <c r="C257" s="668"/>
      <c r="D257" s="668"/>
      <c r="E257" s="668"/>
      <c r="F257" s="668"/>
      <c r="G257" s="668"/>
      <c r="H257" s="668"/>
      <c r="I257" s="668"/>
      <c r="J257" s="668"/>
      <c r="K257" s="668"/>
      <c r="L257" s="668"/>
      <c r="M257" s="668"/>
      <c r="N257" s="668"/>
    </row>
    <row r="258" spans="1:14" hidden="1" x14ac:dyDescent="0.2">
      <c r="A258" s="668"/>
      <c r="B258" s="668"/>
      <c r="C258" s="668"/>
      <c r="D258" s="668"/>
      <c r="E258" s="668"/>
      <c r="F258" s="668"/>
      <c r="G258" s="668"/>
      <c r="H258" s="668"/>
      <c r="I258" s="668"/>
      <c r="J258" s="668"/>
      <c r="K258" s="668"/>
      <c r="L258" s="668"/>
      <c r="M258" s="668"/>
      <c r="N258" s="668"/>
    </row>
    <row r="259" spans="1:14" hidden="1" x14ac:dyDescent="0.2">
      <c r="A259" s="668"/>
      <c r="B259" s="668"/>
      <c r="C259" s="668"/>
      <c r="D259" s="668"/>
      <c r="E259" s="668"/>
      <c r="F259" s="668"/>
      <c r="G259" s="668"/>
      <c r="H259" s="668"/>
      <c r="I259" s="668"/>
      <c r="J259" s="668"/>
      <c r="K259" s="668"/>
      <c r="L259" s="668"/>
      <c r="M259" s="668"/>
      <c r="N259" s="668"/>
    </row>
    <row r="260" spans="1:14" hidden="1" x14ac:dyDescent="0.2">
      <c r="A260" s="668"/>
      <c r="B260" s="668"/>
      <c r="C260" s="668"/>
      <c r="D260" s="668"/>
      <c r="E260" s="668"/>
      <c r="F260" s="668"/>
      <c r="G260" s="668"/>
      <c r="H260" s="668"/>
      <c r="I260" s="668"/>
      <c r="J260" s="668"/>
      <c r="K260" s="668"/>
      <c r="L260" s="668"/>
      <c r="M260" s="668"/>
      <c r="N260" s="668"/>
    </row>
    <row r="261" spans="1:14" hidden="1" x14ac:dyDescent="0.2">
      <c r="A261" s="668"/>
      <c r="B261" s="668"/>
      <c r="C261" s="668"/>
      <c r="D261" s="668"/>
      <c r="E261" s="668"/>
      <c r="F261" s="668"/>
      <c r="G261" s="668"/>
      <c r="H261" s="668"/>
      <c r="I261" s="668"/>
      <c r="J261" s="668"/>
      <c r="K261" s="668"/>
      <c r="L261" s="668"/>
      <c r="M261" s="668"/>
      <c r="N261" s="668"/>
    </row>
    <row r="262" spans="1:14" hidden="1" x14ac:dyDescent="0.2">
      <c r="A262" s="668"/>
      <c r="B262" s="668"/>
      <c r="C262" s="668"/>
      <c r="D262" s="668"/>
      <c r="E262" s="668"/>
      <c r="F262" s="668"/>
      <c r="G262" s="668"/>
      <c r="H262" s="668"/>
      <c r="I262" s="668"/>
      <c r="J262" s="668"/>
      <c r="K262" s="668"/>
      <c r="L262" s="668"/>
      <c r="M262" s="668"/>
      <c r="N262" s="668"/>
    </row>
    <row r="263" spans="1:14" hidden="1" x14ac:dyDescent="0.2">
      <c r="A263" s="668"/>
      <c r="B263" s="668"/>
      <c r="C263" s="668"/>
      <c r="D263" s="668"/>
      <c r="E263" s="668"/>
      <c r="F263" s="668"/>
      <c r="G263" s="668"/>
      <c r="H263" s="668"/>
      <c r="I263" s="668"/>
      <c r="J263" s="668"/>
      <c r="K263" s="668"/>
      <c r="L263" s="668"/>
      <c r="M263" s="668"/>
      <c r="N263" s="668"/>
    </row>
    <row r="264" spans="1:14" hidden="1" x14ac:dyDescent="0.2">
      <c r="A264" s="668"/>
      <c r="B264" s="668"/>
      <c r="C264" s="668"/>
      <c r="D264" s="668"/>
      <c r="E264" s="668"/>
      <c r="F264" s="668"/>
      <c r="G264" s="668"/>
      <c r="H264" s="668"/>
      <c r="I264" s="668"/>
      <c r="J264" s="668"/>
      <c r="K264" s="668"/>
      <c r="L264" s="668"/>
      <c r="M264" s="668"/>
      <c r="N264" s="668"/>
    </row>
    <row r="265" spans="1:14" hidden="1" x14ac:dyDescent="0.2">
      <c r="A265" s="668"/>
      <c r="B265" s="668"/>
      <c r="C265" s="668"/>
      <c r="D265" s="668"/>
      <c r="E265" s="668"/>
      <c r="F265" s="668"/>
      <c r="G265" s="668"/>
      <c r="H265" s="668"/>
      <c r="I265" s="668"/>
      <c r="J265" s="668"/>
      <c r="K265" s="668"/>
      <c r="L265" s="668"/>
      <c r="M265" s="668"/>
      <c r="N265" s="668"/>
    </row>
    <row r="266" spans="1:14" hidden="1" x14ac:dyDescent="0.2">
      <c r="A266" s="668"/>
      <c r="B266" s="668"/>
      <c r="C266" s="668"/>
      <c r="D266" s="668"/>
      <c r="E266" s="668"/>
      <c r="F266" s="668"/>
      <c r="G266" s="668"/>
      <c r="H266" s="668"/>
      <c r="I266" s="668"/>
      <c r="J266" s="668"/>
      <c r="K266" s="668"/>
      <c r="L266" s="668"/>
      <c r="M266" s="668"/>
      <c r="N266" s="668"/>
    </row>
    <row r="267" spans="1:14" hidden="1" x14ac:dyDescent="0.2">
      <c r="A267" s="668"/>
      <c r="B267" s="668"/>
      <c r="C267" s="668"/>
      <c r="D267" s="668"/>
      <c r="E267" s="668"/>
      <c r="F267" s="668"/>
      <c r="G267" s="668"/>
      <c r="H267" s="668"/>
      <c r="I267" s="668"/>
      <c r="J267" s="668"/>
      <c r="K267" s="668"/>
      <c r="L267" s="668"/>
      <c r="M267" s="668"/>
      <c r="N267" s="668"/>
    </row>
    <row r="268" spans="1:14" hidden="1" x14ac:dyDescent="0.2">
      <c r="A268" s="668"/>
      <c r="B268" s="668"/>
      <c r="C268" s="668"/>
      <c r="D268" s="668"/>
      <c r="E268" s="668"/>
      <c r="F268" s="668"/>
      <c r="G268" s="668"/>
      <c r="H268" s="668"/>
      <c r="I268" s="668"/>
      <c r="J268" s="668"/>
      <c r="K268" s="668"/>
      <c r="L268" s="668"/>
      <c r="M268" s="668"/>
      <c r="N268" s="668"/>
    </row>
    <row r="269" spans="1:14" hidden="1" x14ac:dyDescent="0.2">
      <c r="A269" s="668"/>
      <c r="B269" s="668"/>
      <c r="C269" s="668"/>
      <c r="D269" s="668"/>
      <c r="E269" s="668"/>
      <c r="F269" s="668"/>
      <c r="G269" s="668"/>
      <c r="H269" s="668"/>
      <c r="I269" s="668"/>
      <c r="J269" s="668"/>
      <c r="K269" s="668"/>
      <c r="L269" s="668"/>
      <c r="M269" s="668"/>
      <c r="N269" s="668"/>
    </row>
    <row r="270" spans="1:14" hidden="1" x14ac:dyDescent="0.2">
      <c r="A270" s="668"/>
      <c r="B270" s="668"/>
      <c r="C270" s="668"/>
      <c r="D270" s="668"/>
      <c r="E270" s="668"/>
      <c r="F270" s="668"/>
      <c r="G270" s="668"/>
      <c r="H270" s="668"/>
      <c r="I270" s="668"/>
      <c r="J270" s="668"/>
      <c r="K270" s="668"/>
      <c r="L270" s="668"/>
      <c r="M270" s="668"/>
      <c r="N270" s="668"/>
    </row>
    <row r="271" spans="1:14" hidden="1" x14ac:dyDescent="0.2">
      <c r="A271" s="668"/>
      <c r="B271" s="668"/>
      <c r="C271" s="668"/>
      <c r="D271" s="668"/>
      <c r="E271" s="668"/>
      <c r="F271" s="668"/>
      <c r="G271" s="668"/>
      <c r="H271" s="668"/>
      <c r="I271" s="668"/>
      <c r="J271" s="668"/>
      <c r="K271" s="668"/>
      <c r="L271" s="668"/>
      <c r="M271" s="668"/>
      <c r="N271" s="668"/>
    </row>
    <row r="272" spans="1:14" hidden="1" x14ac:dyDescent="0.2">
      <c r="A272" s="668"/>
      <c r="B272" s="668"/>
      <c r="C272" s="668"/>
      <c r="D272" s="668"/>
      <c r="E272" s="668"/>
      <c r="F272" s="668"/>
      <c r="G272" s="668"/>
      <c r="H272" s="668"/>
      <c r="I272" s="668"/>
      <c r="J272" s="668"/>
      <c r="K272" s="668"/>
      <c r="L272" s="668"/>
      <c r="M272" s="668"/>
      <c r="N272" s="668"/>
    </row>
    <row r="273" spans="1:14" hidden="1" x14ac:dyDescent="0.2">
      <c r="A273" s="668"/>
      <c r="B273" s="668"/>
      <c r="C273" s="668"/>
      <c r="D273" s="668"/>
      <c r="E273" s="668"/>
      <c r="F273" s="668"/>
      <c r="G273" s="668"/>
      <c r="H273" s="668"/>
      <c r="I273" s="668"/>
      <c r="J273" s="668"/>
      <c r="K273" s="668"/>
      <c r="L273" s="668"/>
      <c r="M273" s="668"/>
      <c r="N273" s="668"/>
    </row>
    <row r="274" spans="1:14" hidden="1" x14ac:dyDescent="0.2">
      <c r="A274" s="668"/>
      <c r="B274" s="668"/>
      <c r="C274" s="668"/>
      <c r="D274" s="668"/>
      <c r="E274" s="668"/>
      <c r="F274" s="668"/>
      <c r="G274" s="668"/>
      <c r="H274" s="668"/>
      <c r="I274" s="668"/>
      <c r="J274" s="668"/>
      <c r="K274" s="668"/>
      <c r="L274" s="668"/>
      <c r="M274" s="668"/>
      <c r="N274" s="668"/>
    </row>
    <row r="275" spans="1:14" hidden="1" x14ac:dyDescent="0.2">
      <c r="A275" s="668"/>
      <c r="B275" s="668"/>
      <c r="C275" s="668"/>
      <c r="D275" s="668"/>
      <c r="E275" s="668"/>
      <c r="F275" s="668"/>
      <c r="G275" s="668"/>
      <c r="H275" s="668"/>
      <c r="I275" s="668"/>
      <c r="J275" s="668"/>
      <c r="K275" s="668"/>
      <c r="L275" s="668"/>
      <c r="M275" s="668"/>
      <c r="N275" s="668"/>
    </row>
    <row r="276" spans="1:14" hidden="1" x14ac:dyDescent="0.2">
      <c r="A276" s="668"/>
      <c r="B276" s="668"/>
      <c r="C276" s="668"/>
      <c r="D276" s="668"/>
      <c r="E276" s="668"/>
      <c r="F276" s="668"/>
      <c r="G276" s="668"/>
      <c r="H276" s="668"/>
      <c r="I276" s="668"/>
      <c r="J276" s="668"/>
      <c r="K276" s="668"/>
      <c r="L276" s="668"/>
      <c r="M276" s="668"/>
      <c r="N276" s="668"/>
    </row>
    <row r="277" spans="1:14" hidden="1" x14ac:dyDescent="0.2">
      <c r="A277" s="668"/>
      <c r="B277" s="668"/>
      <c r="C277" s="668"/>
      <c r="D277" s="668"/>
      <c r="E277" s="668"/>
      <c r="F277" s="668"/>
      <c r="G277" s="668"/>
      <c r="H277" s="668"/>
      <c r="I277" s="668"/>
      <c r="J277" s="668"/>
      <c r="K277" s="668"/>
      <c r="L277" s="668"/>
      <c r="M277" s="668"/>
      <c r="N277" s="668"/>
    </row>
    <row r="278" spans="1:14" hidden="1" x14ac:dyDescent="0.2">
      <c r="A278" s="668"/>
      <c r="B278" s="668"/>
      <c r="C278" s="668"/>
      <c r="D278" s="668"/>
      <c r="E278" s="668"/>
      <c r="F278" s="668"/>
      <c r="G278" s="668"/>
      <c r="H278" s="668"/>
      <c r="I278" s="668"/>
      <c r="J278" s="668"/>
      <c r="K278" s="668"/>
      <c r="L278" s="668"/>
      <c r="M278" s="668"/>
      <c r="N278" s="668"/>
    </row>
    <row r="279" spans="1:14" hidden="1" x14ac:dyDescent="0.2">
      <c r="A279" s="668"/>
      <c r="B279" s="668"/>
      <c r="C279" s="668"/>
      <c r="D279" s="668"/>
      <c r="E279" s="668"/>
      <c r="F279" s="668"/>
      <c r="G279" s="668"/>
      <c r="H279" s="668"/>
      <c r="I279" s="668"/>
      <c r="J279" s="668"/>
      <c r="K279" s="668"/>
      <c r="L279" s="668"/>
      <c r="M279" s="668"/>
      <c r="N279" s="668"/>
    </row>
    <row r="280" spans="1:14" hidden="1" x14ac:dyDescent="0.2">
      <c r="A280" s="668"/>
      <c r="B280" s="668"/>
      <c r="C280" s="668"/>
      <c r="D280" s="668"/>
      <c r="E280" s="668"/>
      <c r="F280" s="668"/>
      <c r="G280" s="668"/>
      <c r="H280" s="668"/>
      <c r="I280" s="668"/>
      <c r="J280" s="668"/>
      <c r="K280" s="668"/>
      <c r="L280" s="668"/>
      <c r="M280" s="668"/>
      <c r="N280" s="668"/>
    </row>
    <row r="281" spans="1:14" hidden="1" x14ac:dyDescent="0.2">
      <c r="A281" s="668"/>
      <c r="B281" s="668"/>
      <c r="C281" s="668"/>
      <c r="D281" s="668"/>
      <c r="E281" s="668"/>
      <c r="F281" s="668"/>
      <c r="G281" s="668"/>
      <c r="H281" s="668"/>
      <c r="I281" s="668"/>
      <c r="J281" s="668"/>
      <c r="K281" s="668"/>
      <c r="L281" s="668"/>
      <c r="M281" s="668"/>
      <c r="N281" s="668"/>
    </row>
    <row r="282" spans="1:14" hidden="1" x14ac:dyDescent="0.2">
      <c r="A282" s="668"/>
      <c r="B282" s="668"/>
      <c r="C282" s="668"/>
      <c r="D282" s="668"/>
      <c r="E282" s="668"/>
      <c r="F282" s="668"/>
      <c r="G282" s="668"/>
      <c r="H282" s="668"/>
      <c r="I282" s="668"/>
      <c r="J282" s="668"/>
      <c r="K282" s="668"/>
      <c r="L282" s="668"/>
      <c r="M282" s="668"/>
      <c r="N282" s="668"/>
    </row>
    <row r="283" spans="1:14" hidden="1" x14ac:dyDescent="0.2">
      <c r="A283" s="668"/>
      <c r="B283" s="668"/>
      <c r="C283" s="668"/>
      <c r="D283" s="668"/>
      <c r="E283" s="668"/>
      <c r="F283" s="668"/>
      <c r="G283" s="668"/>
      <c r="H283" s="668"/>
      <c r="I283" s="668"/>
      <c r="J283" s="668"/>
      <c r="K283" s="668"/>
      <c r="L283" s="668"/>
      <c r="M283" s="668"/>
      <c r="N283" s="668"/>
    </row>
    <row r="284" spans="1:14" hidden="1" x14ac:dyDescent="0.2">
      <c r="A284" s="668"/>
      <c r="B284" s="668"/>
      <c r="C284" s="668"/>
      <c r="D284" s="668"/>
      <c r="E284" s="668"/>
      <c r="F284" s="668"/>
      <c r="G284" s="668"/>
      <c r="H284" s="668"/>
      <c r="I284" s="668"/>
      <c r="J284" s="668"/>
      <c r="K284" s="668"/>
      <c r="L284" s="668"/>
      <c r="M284" s="668"/>
      <c r="N284" s="668"/>
    </row>
    <row r="285" spans="1:14" hidden="1" x14ac:dyDescent="0.2">
      <c r="A285" s="668"/>
      <c r="B285" s="668"/>
      <c r="C285" s="668"/>
      <c r="D285" s="668"/>
      <c r="E285" s="668"/>
      <c r="F285" s="668"/>
      <c r="G285" s="668"/>
      <c r="H285" s="668"/>
      <c r="I285" s="668"/>
      <c r="J285" s="668"/>
      <c r="K285" s="668"/>
      <c r="L285" s="668"/>
      <c r="M285" s="668"/>
      <c r="N285" s="668"/>
    </row>
    <row r="286" spans="1:14" hidden="1" x14ac:dyDescent="0.2">
      <c r="A286" s="668"/>
      <c r="B286" s="668"/>
      <c r="C286" s="668"/>
      <c r="D286" s="668"/>
      <c r="E286" s="668"/>
      <c r="F286" s="668"/>
      <c r="G286" s="668"/>
      <c r="H286" s="668"/>
      <c r="I286" s="668"/>
      <c r="J286" s="668"/>
      <c r="K286" s="668"/>
      <c r="L286" s="668"/>
      <c r="M286" s="668"/>
      <c r="N286" s="668"/>
    </row>
    <row r="287" spans="1:14" hidden="1" x14ac:dyDescent="0.2">
      <c r="A287" s="668"/>
      <c r="B287" s="668"/>
      <c r="C287" s="668"/>
      <c r="D287" s="668"/>
      <c r="E287" s="668"/>
      <c r="F287" s="668"/>
      <c r="G287" s="668"/>
      <c r="H287" s="668"/>
      <c r="I287" s="668"/>
      <c r="J287" s="668"/>
      <c r="K287" s="668"/>
      <c r="L287" s="668"/>
      <c r="M287" s="668"/>
      <c r="N287" s="668"/>
    </row>
    <row r="288" spans="1:14" hidden="1" x14ac:dyDescent="0.2">
      <c r="A288" s="668"/>
      <c r="B288" s="668"/>
      <c r="C288" s="668"/>
      <c r="D288" s="668"/>
      <c r="E288" s="668"/>
      <c r="F288" s="668"/>
      <c r="G288" s="668"/>
      <c r="H288" s="668"/>
      <c r="I288" s="668"/>
      <c r="J288" s="668"/>
      <c r="K288" s="668"/>
      <c r="L288" s="668"/>
      <c r="M288" s="668"/>
      <c r="N288" s="668"/>
    </row>
    <row r="289" spans="1:14" hidden="1" x14ac:dyDescent="0.2">
      <c r="A289" s="668"/>
      <c r="B289" s="668"/>
      <c r="C289" s="668"/>
      <c r="D289" s="668"/>
      <c r="E289" s="668"/>
      <c r="F289" s="668"/>
      <c r="G289" s="668"/>
      <c r="H289" s="668"/>
      <c r="I289" s="668"/>
      <c r="J289" s="668"/>
      <c r="K289" s="668"/>
      <c r="L289" s="668"/>
      <c r="M289" s="668"/>
      <c r="N289" s="668"/>
    </row>
    <row r="290" spans="1:14" hidden="1" x14ac:dyDescent="0.2">
      <c r="A290" s="668"/>
      <c r="B290" s="668"/>
      <c r="C290" s="668"/>
      <c r="D290" s="668"/>
      <c r="E290" s="668"/>
      <c r="F290" s="668"/>
      <c r="G290" s="668"/>
      <c r="H290" s="668"/>
      <c r="I290" s="668"/>
      <c r="J290" s="668"/>
      <c r="K290" s="668"/>
      <c r="L290" s="668"/>
      <c r="M290" s="668"/>
      <c r="N290" s="668"/>
    </row>
    <row r="291" spans="1:14" hidden="1" x14ac:dyDescent="0.2">
      <c r="A291" s="668"/>
      <c r="B291" s="668"/>
      <c r="C291" s="668"/>
      <c r="D291" s="668"/>
      <c r="E291" s="668"/>
      <c r="F291" s="668"/>
      <c r="G291" s="668"/>
      <c r="H291" s="668"/>
      <c r="I291" s="668"/>
      <c r="J291" s="668"/>
      <c r="K291" s="668"/>
      <c r="L291" s="668"/>
      <c r="M291" s="668"/>
      <c r="N291" s="668"/>
    </row>
    <row r="292" spans="1:14" hidden="1" x14ac:dyDescent="0.2">
      <c r="A292" s="668"/>
      <c r="B292" s="668"/>
      <c r="C292" s="668"/>
      <c r="D292" s="668"/>
      <c r="E292" s="668"/>
      <c r="F292" s="668"/>
      <c r="G292" s="668"/>
      <c r="H292" s="668"/>
      <c r="I292" s="668"/>
      <c r="J292" s="668"/>
      <c r="K292" s="668"/>
      <c r="L292" s="668"/>
      <c r="M292" s="668"/>
      <c r="N292" s="668"/>
    </row>
    <row r="293" spans="1:14" hidden="1" x14ac:dyDescent="0.2">
      <c r="A293" s="668"/>
      <c r="B293" s="668"/>
      <c r="C293" s="668"/>
      <c r="D293" s="668"/>
      <c r="E293" s="668"/>
      <c r="F293" s="668"/>
      <c r="G293" s="668"/>
      <c r="H293" s="668"/>
      <c r="I293" s="668"/>
      <c r="J293" s="668"/>
      <c r="K293" s="668"/>
      <c r="L293" s="668"/>
      <c r="M293" s="668"/>
      <c r="N293" s="668"/>
    </row>
    <row r="294" spans="1:14" hidden="1" x14ac:dyDescent="0.2">
      <c r="A294" s="668"/>
      <c r="B294" s="668"/>
      <c r="C294" s="668"/>
      <c r="D294" s="668"/>
      <c r="E294" s="668"/>
      <c r="F294" s="668"/>
      <c r="G294" s="668"/>
      <c r="H294" s="668"/>
      <c r="I294" s="668"/>
      <c r="J294" s="668"/>
      <c r="K294" s="668"/>
      <c r="L294" s="668"/>
      <c r="M294" s="668"/>
      <c r="N294" s="668"/>
    </row>
    <row r="295" spans="1:14" hidden="1" x14ac:dyDescent="0.2">
      <c r="A295" s="668"/>
      <c r="B295" s="668"/>
      <c r="C295" s="668"/>
      <c r="D295" s="668"/>
      <c r="E295" s="668"/>
      <c r="F295" s="668"/>
      <c r="G295" s="668"/>
      <c r="H295" s="668"/>
      <c r="I295" s="668"/>
      <c r="J295" s="668"/>
      <c r="K295" s="668"/>
      <c r="L295" s="668"/>
      <c r="M295" s="668"/>
      <c r="N295" s="668"/>
    </row>
    <row r="296" spans="1:14" hidden="1" x14ac:dyDescent="0.2">
      <c r="A296" s="668"/>
      <c r="B296" s="668"/>
      <c r="C296" s="668"/>
      <c r="D296" s="668"/>
      <c r="E296" s="668"/>
      <c r="F296" s="668"/>
      <c r="G296" s="668"/>
      <c r="H296" s="668"/>
      <c r="I296" s="668"/>
      <c r="J296" s="668"/>
      <c r="K296" s="668"/>
      <c r="L296" s="668"/>
      <c r="M296" s="668"/>
      <c r="N296" s="668"/>
    </row>
    <row r="297" spans="1:14" hidden="1" x14ac:dyDescent="0.2">
      <c r="A297" s="668"/>
      <c r="B297" s="668"/>
      <c r="C297" s="668"/>
      <c r="D297" s="668"/>
      <c r="E297" s="668"/>
      <c r="F297" s="668"/>
      <c r="G297" s="668"/>
      <c r="H297" s="668"/>
      <c r="I297" s="668"/>
      <c r="J297" s="668"/>
      <c r="K297" s="668"/>
      <c r="L297" s="668"/>
      <c r="M297" s="668"/>
      <c r="N297" s="668"/>
    </row>
    <row r="298" spans="1:14" x14ac:dyDescent="0.2">
      <c r="A298" s="32"/>
      <c r="B298" s="32"/>
      <c r="C298" s="32"/>
      <c r="D298" s="32"/>
      <c r="E298" s="32"/>
      <c r="F298" s="32"/>
      <c r="G298" s="32"/>
      <c r="H298" s="32"/>
      <c r="I298" s="32"/>
    </row>
    <row r="299" spans="1:14" x14ac:dyDescent="0.2">
      <c r="A299" s="32"/>
      <c r="B299" s="32"/>
      <c r="C299" s="278" t="s">
        <v>190</v>
      </c>
      <c r="D299" s="32"/>
      <c r="E299" s="32"/>
      <c r="F299" s="32"/>
      <c r="G299" s="32"/>
      <c r="H299" s="32"/>
      <c r="I299" s="32"/>
    </row>
    <row r="300" spans="1:14" x14ac:dyDescent="0.2">
      <c r="A300" s="182">
        <v>1</v>
      </c>
      <c r="B300" s="589" t="str">
        <f>IFERROR(INDEX(H$100:H$300,MATCH(A300&amp;". koht",H$101:H$301,0)),"")</f>
        <v>Ivar Viljaste, Kristo Viljaste</v>
      </c>
      <c r="C300" s="55">
        <v>40</v>
      </c>
      <c r="F300" s="32"/>
      <c r="G300" s="32"/>
      <c r="I300" s="32"/>
    </row>
    <row r="301" spans="1:14" x14ac:dyDescent="0.2">
      <c r="A301" s="182">
        <v>2</v>
      </c>
      <c r="B301" s="590" t="str">
        <f t="shared" ref="B301:B309" si="16">IFERROR(INDEX(H$100:H$300,MATCH(A301&amp;". koht",H$101:H$301,0)),"")</f>
        <v>Elmo Lageda, Tõnu Piik</v>
      </c>
      <c r="C301" s="55">
        <v>34</v>
      </c>
      <c r="F301" s="32"/>
      <c r="G301" s="32"/>
      <c r="I301" s="32"/>
    </row>
    <row r="302" spans="1:14" x14ac:dyDescent="0.2">
      <c r="A302" s="182">
        <v>3</v>
      </c>
      <c r="B302" s="591" t="str">
        <f t="shared" si="16"/>
        <v>Mait Metsla, Matti Vinni</v>
      </c>
      <c r="C302" s="55">
        <v>30</v>
      </c>
      <c r="F302" s="32"/>
      <c r="G302" s="32"/>
      <c r="I302" s="32"/>
    </row>
    <row r="303" spans="1:14" x14ac:dyDescent="0.2">
      <c r="A303" s="182">
        <v>4</v>
      </c>
      <c r="B303" s="175" t="str">
        <f t="shared" si="16"/>
        <v>Aigi Orro, Kalle Orro</v>
      </c>
      <c r="C303" s="55">
        <v>26</v>
      </c>
      <c r="F303" s="32"/>
      <c r="G303" s="32"/>
      <c r="I303" s="32"/>
    </row>
    <row r="304" spans="1:14" x14ac:dyDescent="0.2">
      <c r="A304" s="182">
        <v>5</v>
      </c>
      <c r="B304" s="175" t="str">
        <f t="shared" si="16"/>
        <v>Jaan Sepp, Oskar Sepp</v>
      </c>
      <c r="C304" s="32">
        <v>24</v>
      </c>
      <c r="F304" s="32"/>
      <c r="G304" s="32"/>
      <c r="I304" s="32"/>
    </row>
    <row r="305" spans="1:9" x14ac:dyDescent="0.2">
      <c r="A305" s="182">
        <v>6</v>
      </c>
      <c r="B305" s="175" t="str">
        <f t="shared" si="16"/>
        <v>Johannes Neiland, Kenneth Muusikus</v>
      </c>
      <c r="C305" s="32">
        <v>22</v>
      </c>
      <c r="F305" s="32"/>
      <c r="G305" s="32"/>
      <c r="I305" s="32"/>
    </row>
    <row r="306" spans="1:9" x14ac:dyDescent="0.2">
      <c r="A306" s="182">
        <v>7</v>
      </c>
      <c r="B306" s="175" t="str">
        <f t="shared" si="16"/>
        <v>Boriss Klubov, Dmitri Kurajev</v>
      </c>
      <c r="C306" s="32">
        <v>20</v>
      </c>
      <c r="F306" s="32"/>
      <c r="G306" s="32"/>
      <c r="I306" s="32"/>
    </row>
    <row r="307" spans="1:9" x14ac:dyDescent="0.2">
      <c r="A307" s="182">
        <v>8</v>
      </c>
      <c r="B307" s="175" t="str">
        <f t="shared" si="16"/>
        <v>Oleg Rõndenkov, Urmas Jõeäär</v>
      </c>
      <c r="C307" s="32">
        <v>18</v>
      </c>
      <c r="F307" s="32"/>
      <c r="G307" s="32"/>
      <c r="I307" s="32"/>
    </row>
    <row r="308" spans="1:9" x14ac:dyDescent="0.2">
      <c r="A308" s="182">
        <v>9</v>
      </c>
      <c r="B308" s="175" t="str">
        <f t="shared" si="16"/>
        <v>Karla Purgats, Lemmit Toomra</v>
      </c>
      <c r="C308" s="32">
        <v>16</v>
      </c>
      <c r="F308" s="32"/>
      <c r="G308" s="32"/>
      <c r="I308" s="32"/>
    </row>
    <row r="309" spans="1:9" x14ac:dyDescent="0.2">
      <c r="A309" s="182">
        <v>10</v>
      </c>
      <c r="B309" s="175" t="str">
        <f t="shared" si="16"/>
        <v>Aarne Välja, Janek Tarto</v>
      </c>
      <c r="C309" s="32">
        <v>14</v>
      </c>
    </row>
  </sheetData>
  <conditionalFormatting sqref="D7 C8">
    <cfRule type="aboveAverage" dxfId="1540" priority="320"/>
  </conditionalFormatting>
  <conditionalFormatting sqref="E7 C9">
    <cfRule type="aboveAverage" dxfId="1539" priority="319"/>
  </conditionalFormatting>
  <conditionalFormatting sqref="F7 C10">
    <cfRule type="aboveAverage" dxfId="1538" priority="318"/>
  </conditionalFormatting>
  <conditionalFormatting sqref="E8 D9">
    <cfRule type="aboveAverage" dxfId="1537" priority="317"/>
  </conditionalFormatting>
  <conditionalFormatting sqref="G7 C11">
    <cfRule type="aboveAverage" dxfId="1536" priority="316"/>
  </conditionalFormatting>
  <conditionalFormatting sqref="F8 D10">
    <cfRule type="aboveAverage" dxfId="1535" priority="315"/>
  </conditionalFormatting>
  <conditionalFormatting sqref="G8 D11">
    <cfRule type="aboveAverage" dxfId="1534" priority="314"/>
  </conditionalFormatting>
  <conditionalFormatting sqref="F9 E10">
    <cfRule type="aboveAverage" dxfId="1533" priority="313"/>
  </conditionalFormatting>
  <conditionalFormatting sqref="G9 E11">
    <cfRule type="aboveAverage" dxfId="1532" priority="312"/>
  </conditionalFormatting>
  <conditionalFormatting sqref="F11 G10">
    <cfRule type="aboveAverage" dxfId="1531" priority="311"/>
  </conditionalFormatting>
  <conditionalFormatting sqref="K14:K18">
    <cfRule type="expression" dxfId="1530" priority="303">
      <formula>AND(J14=3,IF(COUNTIF(J$14:J$18,"=3")&gt;=2,TRUE))</formula>
    </cfRule>
    <cfRule type="expression" dxfId="1529" priority="309">
      <formula>AND(J14=1,IF(COUNTIF(J$14:J$18,"=1")&gt;=2,TRUE))</formula>
    </cfRule>
    <cfRule type="expression" dxfId="1528" priority="310">
      <formula>AND(J14=2,IF(COUNTIF(J$14:J$18,"=2")&gt;=2,TRUE))</formula>
    </cfRule>
  </conditionalFormatting>
  <conditionalFormatting sqref="K21:K25">
    <cfRule type="expression" dxfId="1527" priority="302">
      <formula>AND(J21=3,IF(COUNTIF(J$21:J$25,"=3")&gt;=2,TRUE))</formula>
    </cfRule>
    <cfRule type="expression" dxfId="1526" priority="307">
      <formula>AND(J21=1,IF(COUNTIF(J$21:J$25,"=1")&gt;=2,TRUE))</formula>
    </cfRule>
    <cfRule type="expression" dxfId="1525" priority="308">
      <formula>AND(J21=2,IF(COUNTIF(J$21:J$25,"=2")&gt;=2,TRUE))</formula>
    </cfRule>
  </conditionalFormatting>
  <conditionalFormatting sqref="K7:K11">
    <cfRule type="expression" dxfId="1524" priority="304">
      <formula>AND(J7=3,IF(COUNTIF(J$7:J$11,"=3")&gt;=2,TRUE))</formula>
    </cfRule>
    <cfRule type="expression" dxfId="1523" priority="305">
      <formula>AND(J7=1,IF(COUNTIF(J$7:J$11,"=1")&gt;=2,TRUE))</formula>
    </cfRule>
    <cfRule type="expression" dxfId="1522" priority="306">
      <formula>AND(J7=2,IF(COUNTIF(J$7:J$11,"=2")&gt;=2,TRUE))</formula>
    </cfRule>
  </conditionalFormatting>
  <conditionalFormatting sqref="H7:H11">
    <cfRule type="expression" dxfId="1521" priority="293">
      <formula>AND(J7=1,IF(COUNTIF(J$7:J$11,"=1")&gt;=2,TRUE))</formula>
    </cfRule>
    <cfRule type="expression" dxfId="1520" priority="300">
      <formula>AND(J7=3,IF(COUNTIF(J$7:J$11,"=3")&gt;=2,TRUE))</formula>
    </cfRule>
    <cfRule type="expression" dxfId="1519" priority="301">
      <formula>AND(J7=2,IF(COUNTIF(J$7:J$11,"=2")&gt;=2,TRUE))</formula>
    </cfRule>
  </conditionalFormatting>
  <conditionalFormatting sqref="H14:H18">
    <cfRule type="expression" dxfId="1518" priority="294">
      <formula>AND(J14=1,IF(COUNTIF(J$14:J$18,"=1")&gt;=2,TRUE))</formula>
    </cfRule>
    <cfRule type="expression" dxfId="1517" priority="298">
      <formula>AND(J14=3,IF(COUNTIF(J$14:J$18,"=3")&gt;=2,TRUE))</formula>
    </cfRule>
    <cfRule type="expression" dxfId="1516" priority="299">
      <formula>AND(J14=2,IF(COUNTIF(J$14:J$18,"=2")&gt;=2,TRUE))</formula>
    </cfRule>
  </conditionalFormatting>
  <conditionalFormatting sqref="H21:H25">
    <cfRule type="expression" dxfId="1515" priority="295">
      <formula>AND(J21=1,IF(COUNTIF(J$21:J$25,"=1")&gt;=2,TRUE))</formula>
    </cfRule>
    <cfRule type="expression" dxfId="1514" priority="296">
      <formula>AND(J21=3,IF(COUNTIF(J$21:J$25,"=3")&gt;=2,TRUE))</formula>
    </cfRule>
    <cfRule type="expression" dxfId="1513" priority="297">
      <formula>AND(J21=2,IF(COUNTIF(J$21:J$25,"=2")&gt;=2,TRUE))</formula>
    </cfRule>
  </conditionalFormatting>
  <conditionalFormatting sqref="C69 C73:C74">
    <cfRule type="aboveAverage" dxfId="1512" priority="292"/>
  </conditionalFormatting>
  <conditionalFormatting sqref="D69 D73:D74">
    <cfRule type="aboveAverage" dxfId="1511" priority="291"/>
  </conditionalFormatting>
  <conditionalFormatting sqref="K28:K32">
    <cfRule type="expression" dxfId="1510" priority="288">
      <formula>AND(J28=3,IF(COUNTIF(J$28:J$32,"=3")&gt;=2,TRUE))</formula>
    </cfRule>
    <cfRule type="expression" dxfId="1509" priority="289">
      <formula>AND(J28=1,IF(COUNTIF(J$28:J$32,"=1")&gt;=2,TRUE))</formula>
    </cfRule>
    <cfRule type="expression" dxfId="1508" priority="290">
      <formula>AND(J28=2,IF(COUNTIF(J$28:J$32,"=2")&gt;=2,TRUE))</formula>
    </cfRule>
  </conditionalFormatting>
  <conditionalFormatting sqref="H28:H32">
    <cfRule type="expression" dxfId="1507" priority="285">
      <formula>AND(J28=1,IF(COUNTIF(J$28:J$32,"=1")&gt;=2,TRUE))</formula>
    </cfRule>
    <cfRule type="expression" dxfId="1506" priority="286">
      <formula>AND(J28=3,IF(COUNTIF(J$28:J$32,"=3")&gt;=2,TRUE))</formula>
    </cfRule>
    <cfRule type="expression" dxfId="1505" priority="287">
      <formula>AND(J28=2,IF(COUNTIF(J$28:J$32,"=2")&gt;=2,TRUE))</formula>
    </cfRule>
  </conditionalFormatting>
  <conditionalFormatting sqref="D14 C15">
    <cfRule type="aboveAverage" dxfId="1504" priority="284"/>
  </conditionalFormatting>
  <conditionalFormatting sqref="E14 C16">
    <cfRule type="aboveAverage" dxfId="1503" priority="283"/>
  </conditionalFormatting>
  <conditionalFormatting sqref="F14 C17">
    <cfRule type="aboveAverage" dxfId="1502" priority="282"/>
  </conditionalFormatting>
  <conditionalFormatting sqref="E15 D16">
    <cfRule type="aboveAverage" dxfId="1501" priority="281"/>
  </conditionalFormatting>
  <conditionalFormatting sqref="G14 C18">
    <cfRule type="aboveAverage" dxfId="1500" priority="280"/>
  </conditionalFormatting>
  <conditionalFormatting sqref="F15 D17">
    <cfRule type="aboveAverage" dxfId="1499" priority="279"/>
  </conditionalFormatting>
  <conditionalFormatting sqref="G15 D18">
    <cfRule type="aboveAverage" dxfId="1498" priority="278"/>
  </conditionalFormatting>
  <conditionalFormatting sqref="F16 E17">
    <cfRule type="aboveAverage" dxfId="1497" priority="277"/>
  </conditionalFormatting>
  <conditionalFormatting sqref="G16 E18">
    <cfRule type="aboveAverage" dxfId="1496" priority="276"/>
  </conditionalFormatting>
  <conditionalFormatting sqref="F18 G17">
    <cfRule type="aboveAverage" dxfId="1495" priority="275"/>
  </conditionalFormatting>
  <conditionalFormatting sqref="D21 C22">
    <cfRule type="aboveAverage" dxfId="1494" priority="274"/>
  </conditionalFormatting>
  <conditionalFormatting sqref="E21 C23">
    <cfRule type="aboveAverage" dxfId="1493" priority="273"/>
  </conditionalFormatting>
  <conditionalFormatting sqref="F21 C24">
    <cfRule type="aboveAverage" dxfId="1492" priority="272"/>
  </conditionalFormatting>
  <conditionalFormatting sqref="E22 D23">
    <cfRule type="aboveAverage" dxfId="1491" priority="271"/>
  </conditionalFormatting>
  <conditionalFormatting sqref="G21 C25">
    <cfRule type="aboveAverage" dxfId="1490" priority="270"/>
  </conditionalFormatting>
  <conditionalFormatting sqref="F22 D24">
    <cfRule type="aboveAverage" dxfId="1489" priority="269"/>
  </conditionalFormatting>
  <conditionalFormatting sqref="G22 D25">
    <cfRule type="aboveAverage" dxfId="1488" priority="268"/>
  </conditionalFormatting>
  <conditionalFormatting sqref="F23 E24">
    <cfRule type="aboveAverage" dxfId="1487" priority="267"/>
  </conditionalFormatting>
  <conditionalFormatting sqref="G23 E25">
    <cfRule type="aboveAverage" dxfId="1486" priority="266"/>
  </conditionalFormatting>
  <conditionalFormatting sqref="F25 G24">
    <cfRule type="aboveAverage" dxfId="1485" priority="265"/>
  </conditionalFormatting>
  <conditionalFormatting sqref="D28 C29">
    <cfRule type="aboveAverage" dxfId="1484" priority="264"/>
  </conditionalFormatting>
  <conditionalFormatting sqref="E28 C30">
    <cfRule type="aboveAverage" dxfId="1483" priority="263"/>
  </conditionalFormatting>
  <conditionalFormatting sqref="F28 C31">
    <cfRule type="aboveAverage" dxfId="1482" priority="262"/>
  </conditionalFormatting>
  <conditionalFormatting sqref="E29 D30">
    <cfRule type="aboveAverage" dxfId="1481" priority="261"/>
  </conditionalFormatting>
  <conditionalFormatting sqref="G28 C32">
    <cfRule type="aboveAverage" dxfId="1480" priority="260"/>
  </conditionalFormatting>
  <conditionalFormatting sqref="F29 D31">
    <cfRule type="aboveAverage" dxfId="1479" priority="259"/>
  </conditionalFormatting>
  <conditionalFormatting sqref="G29 D32">
    <cfRule type="aboveAverage" dxfId="1478" priority="258"/>
  </conditionalFormatting>
  <conditionalFormatting sqref="F30 E31">
    <cfRule type="aboveAverage" dxfId="1477" priority="257"/>
  </conditionalFormatting>
  <conditionalFormatting sqref="G30 E32">
    <cfRule type="aboveAverage" dxfId="1476" priority="256"/>
  </conditionalFormatting>
  <conditionalFormatting sqref="F32 G31">
    <cfRule type="aboveAverage" dxfId="1475" priority="255"/>
  </conditionalFormatting>
  <conditionalFormatting sqref="D35 C36">
    <cfRule type="aboveAverage" dxfId="1474" priority="253"/>
  </conditionalFormatting>
  <conditionalFormatting sqref="E35 C37">
    <cfRule type="aboveAverage" dxfId="1473" priority="252"/>
  </conditionalFormatting>
  <conditionalFormatting sqref="F35 C38">
    <cfRule type="aboveAverage" dxfId="1472" priority="251"/>
  </conditionalFormatting>
  <conditionalFormatting sqref="E36 D37">
    <cfRule type="aboveAverage" dxfId="1471" priority="250"/>
  </conditionalFormatting>
  <conditionalFormatting sqref="G35 C39">
    <cfRule type="aboveAverage" dxfId="1470" priority="249"/>
  </conditionalFormatting>
  <conditionalFormatting sqref="F36 D38">
    <cfRule type="aboveAverage" dxfId="1469" priority="248"/>
  </conditionalFormatting>
  <conditionalFormatting sqref="G36 D39">
    <cfRule type="aboveAverage" dxfId="1468" priority="247"/>
  </conditionalFormatting>
  <conditionalFormatting sqref="F37 E38">
    <cfRule type="aboveAverage" dxfId="1467" priority="246"/>
  </conditionalFormatting>
  <conditionalFormatting sqref="G37 E39">
    <cfRule type="aboveAverage" dxfId="1466" priority="245"/>
  </conditionalFormatting>
  <conditionalFormatting sqref="F39 G38">
    <cfRule type="aboveAverage" dxfId="1465" priority="244"/>
  </conditionalFormatting>
  <conditionalFormatting sqref="K42:K46">
    <cfRule type="expression" dxfId="1464" priority="236">
      <formula>AND(J42=3,IF(COUNTIF(J$14:J$18,"=3")&gt;=2,TRUE))</formula>
    </cfRule>
    <cfRule type="expression" dxfId="1463" priority="242">
      <formula>AND(J42=1,IF(COUNTIF(J$14:J$18,"=1")&gt;=2,TRUE))</formula>
    </cfRule>
    <cfRule type="expression" dxfId="1462" priority="243">
      <formula>AND(J42=2,IF(COUNTIF(J$14:J$18,"=2")&gt;=2,TRUE))</formula>
    </cfRule>
  </conditionalFormatting>
  <conditionalFormatting sqref="K49:K53">
    <cfRule type="expression" dxfId="1461" priority="235">
      <formula>AND(J49=3,IF(COUNTIF(J$21:J$25,"=3")&gt;=2,TRUE))</formula>
    </cfRule>
    <cfRule type="expression" dxfId="1460" priority="240">
      <formula>AND(J49=1,IF(COUNTIF(J$21:J$25,"=1")&gt;=2,TRUE))</formula>
    </cfRule>
    <cfRule type="expression" dxfId="1459" priority="241">
      <formula>AND(J49=2,IF(COUNTIF(J$21:J$25,"=2")&gt;=2,TRUE))</formula>
    </cfRule>
  </conditionalFormatting>
  <conditionalFormatting sqref="K35:K39">
    <cfRule type="expression" dxfId="1458" priority="237">
      <formula>AND(J35=3,IF(COUNTIF(J$7:J$11,"=3")&gt;=2,TRUE))</formula>
    </cfRule>
    <cfRule type="expression" dxfId="1457" priority="238">
      <formula>AND(J35=1,IF(COUNTIF(J$7:J$11,"=1")&gt;=2,TRUE))</formula>
    </cfRule>
    <cfRule type="expression" dxfId="1456" priority="239">
      <formula>AND(J35=2,IF(COUNTIF(J$7:J$11,"=2")&gt;=2,TRUE))</formula>
    </cfRule>
  </conditionalFormatting>
  <conditionalFormatting sqref="H35:H39">
    <cfRule type="expression" dxfId="1455" priority="226">
      <formula>AND(J35=1,IF(COUNTIF(J$7:J$11,"=1")&gt;=2,TRUE))</formula>
    </cfRule>
    <cfRule type="expression" dxfId="1454" priority="233">
      <formula>AND(J35=3,IF(COUNTIF(J$7:J$11,"=3")&gt;=2,TRUE))</formula>
    </cfRule>
    <cfRule type="expression" dxfId="1453" priority="234">
      <formula>AND(J35=2,IF(COUNTIF(J$7:J$11,"=2")&gt;=2,TRUE))</formula>
    </cfRule>
  </conditionalFormatting>
  <conditionalFormatting sqref="H42:H46">
    <cfRule type="expression" dxfId="1452" priority="227">
      <formula>AND(J42=1,IF(COUNTIF(J$14:J$18,"=1")&gt;=2,TRUE))</formula>
    </cfRule>
    <cfRule type="expression" dxfId="1451" priority="231">
      <formula>AND(J42=3,IF(COUNTIF(J$14:J$18,"=3")&gt;=2,TRUE))</formula>
    </cfRule>
    <cfRule type="expression" dxfId="1450" priority="232">
      <formula>AND(J42=2,IF(COUNTIF(J$14:J$18,"=2")&gt;=2,TRUE))</formula>
    </cfRule>
  </conditionalFormatting>
  <conditionalFormatting sqref="H49:H53">
    <cfRule type="expression" dxfId="1449" priority="228">
      <formula>AND(J49=1,IF(COUNTIF(J$21:J$25,"=1")&gt;=2,TRUE))</formula>
    </cfRule>
    <cfRule type="expression" dxfId="1448" priority="229">
      <formula>AND(J49=3,IF(COUNTIF(J$21:J$25,"=3")&gt;=2,TRUE))</formula>
    </cfRule>
    <cfRule type="expression" dxfId="1447" priority="230">
      <formula>AND(J49=2,IF(COUNTIF(J$21:J$25,"=2")&gt;=2,TRUE))</formula>
    </cfRule>
  </conditionalFormatting>
  <conditionalFormatting sqref="K56:K60">
    <cfRule type="expression" dxfId="1446" priority="223">
      <formula>AND(J56=3,IF(COUNTIF(J$28:J$32,"=3")&gt;=2,TRUE))</formula>
    </cfRule>
    <cfRule type="expression" dxfId="1445" priority="224">
      <formula>AND(J56=1,IF(COUNTIF(J$28:J$32,"=1")&gt;=2,TRUE))</formula>
    </cfRule>
    <cfRule type="expression" dxfId="1444" priority="225">
      <formula>AND(J56=2,IF(COUNTIF(J$28:J$32,"=2")&gt;=2,TRUE))</formula>
    </cfRule>
  </conditionalFormatting>
  <conditionalFormatting sqref="H56:H60">
    <cfRule type="expression" dxfId="1443" priority="220">
      <formula>AND(J56=1,IF(COUNTIF(J$28:J$32,"=1")&gt;=2,TRUE))</formula>
    </cfRule>
    <cfRule type="expression" dxfId="1442" priority="221">
      <formula>AND(J56=3,IF(COUNTIF(J$28:J$32,"=3")&gt;=2,TRUE))</formula>
    </cfRule>
    <cfRule type="expression" dxfId="1441" priority="222">
      <formula>AND(J56=2,IF(COUNTIF(J$28:J$32,"=2")&gt;=2,TRUE))</formula>
    </cfRule>
  </conditionalFormatting>
  <conditionalFormatting sqref="B37">
    <cfRule type="duplicateValues" dxfId="1440" priority="254"/>
  </conditionalFormatting>
  <conditionalFormatting sqref="D42 C43">
    <cfRule type="aboveAverage" dxfId="1439" priority="218"/>
  </conditionalFormatting>
  <conditionalFormatting sqref="E42 C44">
    <cfRule type="aboveAverage" dxfId="1438" priority="217"/>
  </conditionalFormatting>
  <conditionalFormatting sqref="F42 C45">
    <cfRule type="aboveAverage" dxfId="1437" priority="216"/>
  </conditionalFormatting>
  <conditionalFormatting sqref="E43 D44">
    <cfRule type="aboveAverage" dxfId="1436" priority="215"/>
  </conditionalFormatting>
  <conditionalFormatting sqref="G42 C46">
    <cfRule type="aboveAverage" dxfId="1435" priority="214"/>
  </conditionalFormatting>
  <conditionalFormatting sqref="F43 D45">
    <cfRule type="aboveAverage" dxfId="1434" priority="213"/>
  </conditionalFormatting>
  <conditionalFormatting sqref="G43 D46">
    <cfRule type="aboveAverage" dxfId="1433" priority="212"/>
  </conditionalFormatting>
  <conditionalFormatting sqref="F44 E45">
    <cfRule type="aboveAverage" dxfId="1432" priority="211"/>
  </conditionalFormatting>
  <conditionalFormatting sqref="G44 E46">
    <cfRule type="aboveAverage" dxfId="1431" priority="210"/>
  </conditionalFormatting>
  <conditionalFormatting sqref="F46 G45">
    <cfRule type="aboveAverage" dxfId="1430" priority="209"/>
  </conditionalFormatting>
  <conditionalFormatting sqref="B44">
    <cfRule type="duplicateValues" dxfId="1429" priority="219"/>
  </conditionalFormatting>
  <conditionalFormatting sqref="D49 C50">
    <cfRule type="aboveAverage" dxfId="1428" priority="207"/>
  </conditionalFormatting>
  <conditionalFormatting sqref="E49 C51">
    <cfRule type="aboveAverage" dxfId="1427" priority="206"/>
  </conditionalFormatting>
  <conditionalFormatting sqref="F49 C52">
    <cfRule type="aboveAverage" dxfId="1426" priority="205"/>
  </conditionalFormatting>
  <conditionalFormatting sqref="E50 D51">
    <cfRule type="aboveAverage" dxfId="1425" priority="204"/>
  </conditionalFormatting>
  <conditionalFormatting sqref="G49 C53">
    <cfRule type="aboveAverage" dxfId="1424" priority="203"/>
  </conditionalFormatting>
  <conditionalFormatting sqref="F50 D52">
    <cfRule type="aboveAverage" dxfId="1423" priority="202"/>
  </conditionalFormatting>
  <conditionalFormatting sqref="G50 D53">
    <cfRule type="aboveAverage" dxfId="1422" priority="201"/>
  </conditionalFormatting>
  <conditionalFormatting sqref="F51 E52">
    <cfRule type="aboveAverage" dxfId="1421" priority="200"/>
  </conditionalFormatting>
  <conditionalFormatting sqref="G51 E53">
    <cfRule type="aboveAverage" dxfId="1420" priority="199"/>
  </conditionalFormatting>
  <conditionalFormatting sqref="F53 G52">
    <cfRule type="aboveAverage" dxfId="1419" priority="198"/>
  </conditionalFormatting>
  <conditionalFormatting sqref="B51">
    <cfRule type="duplicateValues" dxfId="1418" priority="208"/>
  </conditionalFormatting>
  <conditionalFormatting sqref="D56 C57">
    <cfRule type="aboveAverage" dxfId="1417" priority="196"/>
  </conditionalFormatting>
  <conditionalFormatting sqref="E56 C58">
    <cfRule type="aboveAverage" dxfId="1416" priority="195"/>
  </conditionalFormatting>
  <conditionalFormatting sqref="F56 C59">
    <cfRule type="aboveAverage" dxfId="1415" priority="194"/>
  </conditionalFormatting>
  <conditionalFormatting sqref="E57 D58">
    <cfRule type="aboveAverage" dxfId="1414" priority="193"/>
  </conditionalFormatting>
  <conditionalFormatting sqref="G56 C60">
    <cfRule type="aboveAverage" dxfId="1413" priority="192"/>
  </conditionalFormatting>
  <conditionalFormatting sqref="F57 D59">
    <cfRule type="aboveAverage" dxfId="1412" priority="191"/>
  </conditionalFormatting>
  <conditionalFormatting sqref="G57 D60">
    <cfRule type="aboveAverage" dxfId="1411" priority="190"/>
  </conditionalFormatting>
  <conditionalFormatting sqref="F58 E59">
    <cfRule type="aboveAverage" dxfId="1410" priority="189"/>
  </conditionalFormatting>
  <conditionalFormatting sqref="G58 E60">
    <cfRule type="aboveAverage" dxfId="1409" priority="188"/>
  </conditionalFormatting>
  <conditionalFormatting sqref="F60 G59">
    <cfRule type="aboveAverage" dxfId="1408" priority="187"/>
  </conditionalFormatting>
  <conditionalFormatting sqref="B58">
    <cfRule type="duplicateValues" dxfId="1407" priority="197"/>
  </conditionalFormatting>
  <conditionalFormatting sqref="G135 G137">
    <cfRule type="containsBlanks" dxfId="1406" priority="153">
      <formula>LEN(TRIM(G135))=0</formula>
    </cfRule>
  </conditionalFormatting>
  <conditionalFormatting sqref="G135 G137">
    <cfRule type="aboveAverage" dxfId="1405" priority="154"/>
  </conditionalFormatting>
  <conditionalFormatting sqref="I10:I11">
    <cfRule type="expression" dxfId="1404" priority="151">
      <formula>FIND(2,I10,1)</formula>
    </cfRule>
    <cfRule type="expression" dxfId="1403" priority="152">
      <formula>FIND(1,I10,1)</formula>
    </cfRule>
  </conditionalFormatting>
  <conditionalFormatting sqref="I7:I9">
    <cfRule type="expression" dxfId="1402" priority="149">
      <formula>FIND(2,I7,1)</formula>
    </cfRule>
    <cfRule type="expression" dxfId="1401" priority="150">
      <formula>FIND(1,I7,1)</formula>
    </cfRule>
  </conditionalFormatting>
  <conditionalFormatting sqref="I14:I18">
    <cfRule type="expression" dxfId="1400" priority="147">
      <formula>FIND(2,I14,1)</formula>
    </cfRule>
    <cfRule type="expression" dxfId="1399" priority="148">
      <formula>FIND(1,I14,1)</formula>
    </cfRule>
  </conditionalFormatting>
  <conditionalFormatting sqref="I21:I25">
    <cfRule type="expression" dxfId="1398" priority="145">
      <formula>FIND(2,I21,1)</formula>
    </cfRule>
    <cfRule type="expression" dxfId="1397" priority="146">
      <formula>FIND(1,I21,1)</formula>
    </cfRule>
  </conditionalFormatting>
  <conditionalFormatting sqref="I28:I32">
    <cfRule type="expression" dxfId="1396" priority="143">
      <formula>FIND(2,I28,1)</formula>
    </cfRule>
    <cfRule type="expression" dxfId="1395" priority="144">
      <formula>FIND(1,I28,1)</formula>
    </cfRule>
  </conditionalFormatting>
  <conditionalFormatting sqref="I38:I39">
    <cfRule type="expression" dxfId="1394" priority="141">
      <formula>FIND(2,I38,1)</formula>
    </cfRule>
    <cfRule type="expression" dxfId="1393" priority="142">
      <formula>FIND(1,I38,1)</formula>
    </cfRule>
  </conditionalFormatting>
  <conditionalFormatting sqref="I35:I37">
    <cfRule type="expression" dxfId="1392" priority="139">
      <formula>FIND(2,I35,1)</formula>
    </cfRule>
    <cfRule type="expression" dxfId="1391" priority="140">
      <formula>FIND(1,I35,1)</formula>
    </cfRule>
  </conditionalFormatting>
  <conditionalFormatting sqref="I42:I46">
    <cfRule type="expression" dxfId="1390" priority="137">
      <formula>FIND(2,I42,1)</formula>
    </cfRule>
    <cfRule type="expression" dxfId="1389" priority="138">
      <formula>FIND(1,I42,1)</formula>
    </cfRule>
  </conditionalFormatting>
  <conditionalFormatting sqref="I49:I53">
    <cfRule type="expression" dxfId="1388" priority="135">
      <formula>FIND(2,I49,1)</formula>
    </cfRule>
    <cfRule type="expression" dxfId="1387" priority="136">
      <formula>FIND(1,I49,1)</formula>
    </cfRule>
  </conditionalFormatting>
  <conditionalFormatting sqref="I56:I60">
    <cfRule type="expression" dxfId="1386" priority="133">
      <formula>FIND(2,I56,1)</formula>
    </cfRule>
    <cfRule type="expression" dxfId="1385" priority="134">
      <formula>FIND(1,I56,1)</formula>
    </cfRule>
  </conditionalFormatting>
  <conditionalFormatting sqref="B30">
    <cfRule type="duplicateValues" dxfId="1384" priority="90"/>
  </conditionalFormatting>
  <conditionalFormatting sqref="A101:A107">
    <cfRule type="cellIs" dxfId="1383" priority="45" operator="equal">
      <formula>"-"</formula>
    </cfRule>
    <cfRule type="duplicateValues" dxfId="1382" priority="46"/>
  </conditionalFormatting>
  <conditionalFormatting sqref="G119 G123 G126 G128">
    <cfRule type="containsBlanks" dxfId="1381" priority="33">
      <formula>LEN(TRIM(G119))=0</formula>
    </cfRule>
  </conditionalFormatting>
  <conditionalFormatting sqref="C101 C103">
    <cfRule type="aboveAverage" dxfId="1380" priority="44"/>
  </conditionalFormatting>
  <conditionalFormatting sqref="C105 C107">
    <cfRule type="aboveAverage" dxfId="1379" priority="43"/>
  </conditionalFormatting>
  <conditionalFormatting sqref="C101 C103 C105 C107">
    <cfRule type="containsBlanks" dxfId="1378" priority="42">
      <formula>LEN(TRIM(C101))=0</formula>
    </cfRule>
  </conditionalFormatting>
  <conditionalFormatting sqref="C118 C120">
    <cfRule type="aboveAverage" dxfId="1377" priority="41"/>
  </conditionalFormatting>
  <conditionalFormatting sqref="C122 C124">
    <cfRule type="aboveAverage" dxfId="1376" priority="40"/>
  </conditionalFormatting>
  <conditionalFormatting sqref="C118 C120 C122 C124">
    <cfRule type="containsBlanks" dxfId="1375" priority="39">
      <formula>LEN(TRIM(C118))=0</formula>
    </cfRule>
  </conditionalFormatting>
  <conditionalFormatting sqref="G102 G106 G109 G111">
    <cfRule type="containsBlanks" dxfId="1374" priority="36">
      <formula>LEN(TRIM(G102))=0</formula>
    </cfRule>
  </conditionalFormatting>
  <conditionalFormatting sqref="G102 G106">
    <cfRule type="aboveAverage" dxfId="1373" priority="38"/>
  </conditionalFormatting>
  <conditionalFormatting sqref="G109 G111">
    <cfRule type="aboveAverage" dxfId="1372" priority="37"/>
  </conditionalFormatting>
  <conditionalFormatting sqref="G119 G123">
    <cfRule type="aboveAverage" dxfId="1371" priority="35"/>
  </conditionalFormatting>
  <conditionalFormatting sqref="G126 G128">
    <cfRule type="aboveAverage" dxfId="1370" priority="34"/>
  </conditionalFormatting>
  <conditionalFormatting sqref="A118:A124">
    <cfRule type="cellIs" dxfId="1369" priority="31" operator="equal">
      <formula>"-"</formula>
    </cfRule>
    <cfRule type="duplicateValues" dxfId="1368" priority="32"/>
  </conditionalFormatting>
  <conditionalFormatting sqref="B300:B309">
    <cfRule type="containsBlanks" dxfId="1367" priority="2995">
      <formula>LEN(TRIM(B300))=0</formula>
    </cfRule>
    <cfRule type="duplicateValues" dxfId="1366" priority="2996"/>
  </conditionalFormatting>
  <conditionalFormatting sqref="L15:L18">
    <cfRule type="expression" dxfId="1365" priority="25">
      <formula>OR(J15=0,J15=4)</formula>
    </cfRule>
    <cfRule type="expression" dxfId="1364" priority="29">
      <formula>AND(J15=1,IF(COUNTIF(J$14:J$18,"=1")=1,TRUE))</formula>
    </cfRule>
    <cfRule type="expression" dxfId="1363" priority="30">
      <formula>AND(J15=3,IF(COUNTIF(J$14:J$18,"=3")=1,TRUE))</formula>
    </cfRule>
  </conditionalFormatting>
  <conditionalFormatting sqref="L21:L25">
    <cfRule type="expression" dxfId="1362" priority="26">
      <formula>OR(J21=0,J21=4)</formula>
    </cfRule>
    <cfRule type="expression" dxfId="1361" priority="27">
      <formula>AND(J21=1,IF(COUNTIF(J$21:J$25,"=1")=1,TRUE))</formula>
    </cfRule>
    <cfRule type="expression" dxfId="1360" priority="28">
      <formula>AND(J21=3,IF(COUNTIF(J$21:J$25,"=3")=1,TRUE))</formula>
    </cfRule>
  </conditionalFormatting>
  <conditionalFormatting sqref="L7:L11">
    <cfRule type="expression" dxfId="1359" priority="22">
      <formula>OR(J7=0,J7=4)</formula>
    </cfRule>
    <cfRule type="expression" dxfId="1358" priority="23">
      <formula>AND(J7=1,IF(COUNTIF(J$7:J$11,"=1")=1,TRUE))</formula>
    </cfRule>
    <cfRule type="expression" dxfId="1357" priority="24">
      <formula>AND(J7=3,IF(COUNTIF(J$7:J$11,"=3")=1,TRUE))</formula>
    </cfRule>
  </conditionalFormatting>
  <conditionalFormatting sqref="L28:L32">
    <cfRule type="expression" dxfId="1356" priority="19">
      <formula>OR(J28=0,J28=4)</formula>
    </cfRule>
    <cfRule type="expression" dxfId="1355" priority="20">
      <formula>AND(J28=1,IF(COUNTIF(J$28:J$32,"=1")=1,TRUE))</formula>
    </cfRule>
    <cfRule type="expression" dxfId="1354" priority="21">
      <formula>AND(J28=3,IF(COUNTIF(J$28:J$32,"=3")=1,TRUE))</formula>
    </cfRule>
  </conditionalFormatting>
  <conditionalFormatting sqref="L43:L46">
    <cfRule type="expression" dxfId="1353" priority="13">
      <formula>OR(J43=0,J43=4)</formula>
    </cfRule>
    <cfRule type="expression" dxfId="1352" priority="17">
      <formula>AND(J43=1,IF(COUNTIF(J$14:J$18,"=1")=1,TRUE))</formula>
    </cfRule>
    <cfRule type="expression" dxfId="1351" priority="18">
      <formula>AND(J43=3,IF(COUNTIF(J$14:J$18,"=3")=1,TRUE))</formula>
    </cfRule>
  </conditionalFormatting>
  <conditionalFormatting sqref="L49:L53">
    <cfRule type="expression" dxfId="1350" priority="14">
      <formula>OR(J49=0,J49=4)</formula>
    </cfRule>
    <cfRule type="expression" dxfId="1349" priority="15">
      <formula>AND(J49=1,IF(COUNTIF(J$21:J$25,"=1")=1,TRUE))</formula>
    </cfRule>
    <cfRule type="expression" dxfId="1348" priority="16">
      <formula>AND(J49=3,IF(COUNTIF(J$21:J$25,"=3")=1,TRUE))</formula>
    </cfRule>
  </conditionalFormatting>
  <conditionalFormatting sqref="L35:L39">
    <cfRule type="expression" dxfId="1347" priority="10">
      <formula>OR(J35=0,J35=4)</formula>
    </cfRule>
    <cfRule type="expression" dxfId="1346" priority="11">
      <formula>AND(J35=1,IF(COUNTIF(J$7:J$11,"=1")=1,TRUE))</formula>
    </cfRule>
    <cfRule type="expression" dxfId="1345" priority="12">
      <formula>AND(J35=3,IF(COUNTIF(J$7:J$11,"=3")=1,TRUE))</formula>
    </cfRule>
  </conditionalFormatting>
  <conditionalFormatting sqref="L56:L60">
    <cfRule type="expression" dxfId="1344" priority="7">
      <formula>OR(J56=0,J56=4)</formula>
    </cfRule>
    <cfRule type="expression" dxfId="1343" priority="8">
      <formula>AND(J56=1,IF(COUNTIF(J$28:J$32,"=1")=1,TRUE))</formula>
    </cfRule>
    <cfRule type="expression" dxfId="1342" priority="9">
      <formula>AND(J56=3,IF(COUNTIF(J$28:J$32,"=3")=1,TRUE))</formula>
    </cfRule>
  </conditionalFormatting>
  <conditionalFormatting sqref="L14">
    <cfRule type="expression" dxfId="1341" priority="4">
      <formula>OR(J14=0,J14=4)</formula>
    </cfRule>
    <cfRule type="expression" dxfId="1340" priority="5">
      <formula>AND(J14=1,IF(COUNTIF(J$7:J$11,"=1")=1,TRUE))</formula>
    </cfRule>
    <cfRule type="expression" dxfId="1339" priority="6">
      <formula>AND(J14=3,IF(COUNTIF(J$7:J$11,"=3")=1,TRUE))</formula>
    </cfRule>
  </conditionalFormatting>
  <conditionalFormatting sqref="L42">
    <cfRule type="expression" dxfId="1338" priority="1">
      <formula>OR(J42=0,J42=4)</formula>
    </cfRule>
    <cfRule type="expression" dxfId="1337" priority="2">
      <formula>AND(J42=1,IF(COUNTIF(J$7:J$11,"=1")=1,TRUE))</formula>
    </cfRule>
    <cfRule type="expression" dxfId="1336" priority="3">
      <formula>AND(J42=3,IF(COUNTIF(J$7:J$11,"=3")=1,TRUE))</formula>
    </cfRule>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B0F0"/>
    <pageSetUpPr fitToPage="1"/>
  </sheetPr>
  <dimension ref="A1:AB304"/>
  <sheetViews>
    <sheetView showGridLines="0" showRowColHeaders="0" zoomScaleNormal="100" workbookViewId="0">
      <pane ySplit="2" topLeftCell="A3" activePane="bottomLeft" state="frozen"/>
      <selection activeCell="K1" sqref="K1"/>
      <selection pane="bottomLeft" activeCell="B9" sqref="B9"/>
    </sheetView>
  </sheetViews>
  <sheetFormatPr defaultRowHeight="12.75" x14ac:dyDescent="0.2"/>
  <cols>
    <col min="1" max="1" width="5.5703125" style="277" customWidth="1"/>
    <col min="2" max="2" width="40" style="277" bestFit="1" customWidth="1"/>
    <col min="3" max="9" width="6.7109375" style="277" customWidth="1"/>
    <col min="10" max="10" width="4.5703125" style="277" hidden="1" customWidth="1"/>
    <col min="11" max="12" width="4.7109375" style="277" customWidth="1"/>
    <col min="13" max="13" width="6" style="277" hidden="1" customWidth="1"/>
    <col min="14" max="14" width="4.28515625" style="277" customWidth="1"/>
    <col min="15" max="15" width="5.5703125" style="277" customWidth="1"/>
    <col min="16" max="16" width="8.5703125" style="277" bestFit="1" customWidth="1"/>
    <col min="17" max="17" width="9.140625" style="277"/>
    <col min="18" max="18" width="7.7109375" style="277" hidden="1" customWidth="1"/>
    <col min="19" max="19" width="14" style="277" hidden="1" customWidth="1"/>
    <col min="20" max="20" width="6" style="277" hidden="1" customWidth="1"/>
    <col min="21" max="21" width="17.28515625" style="277" hidden="1" customWidth="1"/>
    <col min="22" max="22" width="6" style="277" hidden="1" customWidth="1"/>
    <col min="23" max="23" width="18.7109375" style="277" hidden="1" customWidth="1"/>
    <col min="24" max="24" width="6" style="277" hidden="1" customWidth="1"/>
    <col min="25" max="25" width="17.28515625" style="277" hidden="1" customWidth="1"/>
    <col min="26" max="26" width="6" style="277" hidden="1" customWidth="1"/>
    <col min="27" max="27" width="13.85546875" style="277" hidden="1" customWidth="1"/>
    <col min="28" max="28" width="6" style="277" hidden="1" customWidth="1"/>
    <col min="29" max="16384" width="9.140625" style="277"/>
  </cols>
  <sheetData>
    <row r="1" spans="1:28" x14ac:dyDescent="0.2">
      <c r="A1" s="31" t="str">
        <f>UPPER((Kalend!E43)&amp;" - "&amp;(Kalend!C43)&amp;" - "&amp;(Kalend!D43))</f>
        <v>12 - K-JÄRVE 17. MV - TRIO</v>
      </c>
      <c r="D1" s="495" t="str">
        <f>HYPERLINK("#'Kalend'!I1","Kalender")</f>
        <v>Kalender</v>
      </c>
      <c r="F1" s="1365" t="str">
        <f>HYPERLINK("#'Reit'!T1","Reiting")</f>
        <v>Reiting</v>
      </c>
      <c r="G1" s="55"/>
      <c r="J1" s="169" t="s">
        <v>180</v>
      </c>
      <c r="L1" s="496"/>
      <c r="M1" s="497"/>
      <c r="R1" s="169" t="s">
        <v>180</v>
      </c>
      <c r="S1" s="597"/>
      <c r="T1" s="597"/>
      <c r="U1" s="597"/>
      <c r="V1" s="597"/>
      <c r="W1" s="597"/>
      <c r="X1" s="597"/>
      <c r="Y1" s="597"/>
      <c r="Z1" s="597"/>
      <c r="AA1" s="597"/>
      <c r="AB1" s="597"/>
    </row>
    <row r="2" spans="1:28" x14ac:dyDescent="0.2">
      <c r="A2" s="2" t="str">
        <f>"Toimumisaeg: "&amp;(Kalend!A43)&amp;" kell "&amp;(Kalend!B43)</f>
        <v>Toimumisaeg: P, 16.09.2018 kell 11:00</v>
      </c>
      <c r="R2" s="32"/>
      <c r="S2" s="32"/>
      <c r="T2" s="32"/>
      <c r="U2" s="32"/>
      <c r="V2" s="32"/>
      <c r="W2" s="188"/>
      <c r="X2" s="32"/>
      <c r="Y2" s="32"/>
      <c r="Z2" s="32"/>
      <c r="AA2" s="32"/>
      <c r="AB2" s="32"/>
    </row>
    <row r="3" spans="1:28" x14ac:dyDescent="0.2">
      <c r="A3" s="2" t="str">
        <f>"Toimumiskoht: "&amp;(Kalend!F43)</f>
        <v>Toimumiskoht: K-Järve spordihoone</v>
      </c>
      <c r="N3" s="668"/>
      <c r="R3" s="32"/>
      <c r="S3" s="598" t="s">
        <v>357</v>
      </c>
      <c r="T3" s="32"/>
      <c r="U3" s="32"/>
      <c r="V3" s="32"/>
      <c r="W3" s="32"/>
      <c r="X3" s="32"/>
      <c r="Y3" s="32"/>
      <c r="Z3" s="32"/>
      <c r="AA3" s="32"/>
      <c r="AB3" s="32"/>
    </row>
    <row r="4" spans="1:28" x14ac:dyDescent="0.2">
      <c r="A4" s="2" t="str">
        <f>"Korraldaja: "&amp;(Kalend!G43)</f>
        <v>Korraldaja: K-Järve SHK, Ivar Viljaste</v>
      </c>
      <c r="N4" s="498"/>
      <c r="R4" s="599" t="s">
        <v>226</v>
      </c>
      <c r="S4" s="600"/>
      <c r="T4" s="600"/>
      <c r="U4" s="600"/>
      <c r="V4" s="600"/>
      <c r="W4" s="600"/>
      <c r="X4" s="600"/>
      <c r="Y4" s="600"/>
      <c r="Z4" s="600"/>
      <c r="AA4" s="600"/>
      <c r="AB4" s="600"/>
    </row>
    <row r="5" spans="1:28" x14ac:dyDescent="0.2">
      <c r="N5" s="668"/>
      <c r="R5" s="599" t="s">
        <v>358</v>
      </c>
      <c r="S5" s="601" t="s">
        <v>359</v>
      </c>
      <c r="T5" s="601"/>
      <c r="U5" s="601" t="s">
        <v>361</v>
      </c>
      <c r="V5" s="601"/>
      <c r="W5" s="601" t="s">
        <v>362</v>
      </c>
      <c r="X5" s="499"/>
      <c r="Y5" s="499" t="s">
        <v>430</v>
      </c>
      <c r="Z5" s="499"/>
      <c r="AA5" s="499" t="s">
        <v>431</v>
      </c>
      <c r="AB5" s="602"/>
    </row>
    <row r="6" spans="1:28" s="506" customFormat="1" x14ac:dyDescent="0.2">
      <c r="A6" s="500"/>
      <c r="B6" s="501"/>
      <c r="C6" s="502">
        <v>1</v>
      </c>
      <c r="D6" s="502">
        <v>2</v>
      </c>
      <c r="E6" s="502">
        <v>3</v>
      </c>
      <c r="F6" s="502">
        <v>4</v>
      </c>
      <c r="G6" s="502">
        <v>5</v>
      </c>
      <c r="H6" s="502" t="s">
        <v>363</v>
      </c>
      <c r="I6" s="501" t="s">
        <v>26</v>
      </c>
      <c r="J6" s="503" t="s">
        <v>156</v>
      </c>
      <c r="K6" s="504" t="s">
        <v>156</v>
      </c>
      <c r="L6" s="505" t="s">
        <v>364</v>
      </c>
      <c r="M6" s="506" t="b">
        <f>OR(AND(COUNTA(B7:B11)=3,COUNTA(C7:G11)=6),AND(COUNTA(B7:B11)=4,COUNTA(C7:G11)=12),AND(COUNTA(B7:B11)=5,COUNTA(C7:G11)=20))</f>
        <v>1</v>
      </c>
      <c r="N6" s="498"/>
      <c r="O6" s="498"/>
      <c r="P6" s="536"/>
      <c r="Q6" s="277"/>
      <c r="R6" s="599" t="s">
        <v>365</v>
      </c>
      <c r="S6" s="600"/>
      <c r="T6" s="600"/>
      <c r="U6" s="507"/>
      <c r="V6" s="507"/>
      <c r="W6" s="507"/>
      <c r="X6" s="507"/>
      <c r="Y6" s="507"/>
      <c r="Z6" s="507"/>
      <c r="AA6" s="507"/>
      <c r="AB6" s="507"/>
    </row>
    <row r="7" spans="1:28" s="506" customFormat="1" x14ac:dyDescent="0.2">
      <c r="A7" s="500">
        <v>1</v>
      </c>
      <c r="B7" s="508" t="s">
        <v>587</v>
      </c>
      <c r="C7" s="509"/>
      <c r="D7" s="510">
        <v>1</v>
      </c>
      <c r="E7" s="510">
        <v>6</v>
      </c>
      <c r="F7" s="510">
        <v>13</v>
      </c>
      <c r="G7" s="510">
        <v>13</v>
      </c>
      <c r="H7" s="511" t="str">
        <f>(IF(D7-C8&gt;0,1)+IF(E7-C9&gt;0,1)+IF(F7-C10&gt;0,1)+IF(G7-C11&gt;0,1))&amp;"-"&amp;(IF(D7-C8&lt;0,1)+IF(E7-C9&lt;0,1)+IF(F7-C10&lt;0,1)+IF(G7-C11&lt;0,1))</f>
        <v>2-2</v>
      </c>
      <c r="I7" s="510" t="str">
        <f>IF(AND(B7&lt;&gt;"",M$6=TRUE),A$6&amp;RANK(M7,M$7:M$11,0),"")</f>
        <v>4</v>
      </c>
      <c r="J7" s="512">
        <f>VALUE(LEFT(H7,1))</f>
        <v>2</v>
      </c>
      <c r="K7" s="513">
        <f>IF(AND(J7=1,J8=1,D7&gt;C8),1)+IF(AND(J7=1,J9=1,E7&gt;C9),1)+IF(AND(J7=1,J10=1,F7&gt;C10),1)+IF(AND(J7=1,J11=1,G7&gt;C11),1)+IF(AND(J7=2,J8=2,D7&gt;C8),1)+IF(AND(J7=2,J9=2,E7&gt;C9),1)+IF(AND(J7=2,J10=2,F7&gt;C10),1)+IF(AND(J7=2,J11=2,G7&gt;C11),1)+IF(AND(J7=3,J8=3,D7&gt;C8),1)+IF(AND(J7=3,J9=3,E7&gt;C9),1)+IF(AND(J7=3,J10=3,F7&gt;C10),1)+IF(AND(J7=3,J11=3,G7&gt;C11),1)</f>
        <v>1</v>
      </c>
      <c r="L7" s="1305">
        <f>IF(AND(J7=1,J8=1),D7-C8)+IF(AND(J7=1,J9=1),E7-C9)+IF(AND(J7=1,J10=1),F7-C10)+IF(AND(J7=1,J11=1),G7-C11)+IF(AND(J7=2,J8=2),D7-C8)+IF(AND(J7=2,J9=2),E7-C9)+IF(AND(J7=2,J10=2),F7-C10)+IF(AND(J7=2,J11=2),G7-C11)+IF(AND(J7=3,J8=3),D7-C8)+IF(AND(J7=3,J9=3),E7-C9)+IF(AND(J7=3,J10=3),F7-C10)+IF(AND(J7=3,J11=3),G7-C11)</f>
        <v>-8</v>
      </c>
      <c r="M7" s="515">
        <f>10000*J7+K7*100+L7</f>
        <v>20092</v>
      </c>
      <c r="N7" s="516"/>
      <c r="P7" s="498"/>
      <c r="Q7" s="517"/>
      <c r="R7" s="499">
        <f>SUM(T7:AB7)</f>
        <v>680</v>
      </c>
      <c r="S7" s="603" t="str">
        <f>IFERROR(LEFT($B7,(FIND(",",$B7,1)-1)),"")</f>
        <v>Jaan Sepp</v>
      </c>
      <c r="T7" s="604">
        <f>IFERROR(INDEX(Reit!$I:$I,MATCH(S7,Reit!$F:$F,0)),"")</f>
        <v>243</v>
      </c>
      <c r="U7" s="603" t="str">
        <f>IFERROR(MID($B7,FIND("^",SUBSTITUTE($B7,", ","^",1))+2,FIND("^",SUBSTITUTE($B7,", ","^",2))-FIND("^",SUBSTITUTE($B7,", ","^",1))-2),"")</f>
        <v>Mait Metsla</v>
      </c>
      <c r="V7" s="604">
        <f>IFERROR(INDEX(Reit!$I:$I,MATCH(U7,Reit!$F:$F,0)),"")</f>
        <v>241</v>
      </c>
      <c r="W7" s="603" t="str">
        <f>IFERROR(MID($B7,FIND(", ",$B7,FIND(", ",$B7,FIND(", ",$B7))+1)+2,30000),"")</f>
        <v>Oskar Sepp</v>
      </c>
      <c r="X7" s="604">
        <f>IFERROR(INDEX(Reit!$I:$I,MATCH(W7,Reit!$F:$F,0)),"")</f>
        <v>196</v>
      </c>
      <c r="Y7" s="605" t="str">
        <f t="shared" ref="Y7:Y60" si="0">IFERROR(MID($B7,FIND(", ",$B7,FIND(", ",$B7)+1)+2,FIND(", ",$B7,FIND(", ",$B7,FIND(", ",$B7)+1)+1)-FIND(", ",$B7,FIND(", ",$B7)+1)-2),"")</f>
        <v/>
      </c>
      <c r="Z7" s="604" t="str">
        <f>IFERROR(INDEX(Reit!$I:$I,MATCH(Y7,Reit!$F:$F,0)),"")</f>
        <v/>
      </c>
      <c r="AA7" s="603" t="str">
        <f>IFERROR(MID($B7,FIND(", ",$B7,FIND(", ",$B7,FIND(", ",$B7)+1)+1)+2,30000),"")</f>
        <v/>
      </c>
      <c r="AB7" s="604" t="str">
        <f>IFERROR(INDEX(Reit!$I:$I,MATCH(AA7,Reit!$F:$F,0)),"")</f>
        <v/>
      </c>
    </row>
    <row r="8" spans="1:28" s="506" customFormat="1" x14ac:dyDescent="0.2">
      <c r="A8" s="500">
        <v>2</v>
      </c>
      <c r="B8" s="518" t="s">
        <v>503</v>
      </c>
      <c r="C8" s="510">
        <v>13</v>
      </c>
      <c r="D8" s="509"/>
      <c r="E8" s="510">
        <v>2</v>
      </c>
      <c r="F8" s="510">
        <v>10</v>
      </c>
      <c r="G8" s="510">
        <v>13</v>
      </c>
      <c r="H8" s="511" t="str">
        <f>(IF(C8-D7&gt;0,1)+IF(E8-D9&gt;0,1)+IF(F8-D10&gt;0,1)+IF(G8-D11&gt;0,1))&amp;"-"&amp;(IF(C8-D7&lt;0,1)+IF(E8-D9&lt;0,1)+IF(F8-D10&lt;0,1)+IF(G8-D11&lt;0,1))</f>
        <v>2-2</v>
      </c>
      <c r="I8" s="510" t="str">
        <f>IF(AND(B8&lt;&gt;"",M$6=TRUE),A$6&amp;RANK(M8,M$7:M$11,0),"")</f>
        <v>2</v>
      </c>
      <c r="J8" s="512">
        <f t="shared" ref="J8:J11" si="1">VALUE(LEFT(H8,1))</f>
        <v>2</v>
      </c>
      <c r="K8" s="519">
        <f>IF(AND(J8=1,J7=1,C8&gt;D7),1)+IF(AND(J8=1,J9=1,E8&gt;D9),1)+IF(AND(J8=1,J10=1,F8&gt;D10),1)+IF(AND(J8=1,J11=1,G8&gt;D11),1)+IF(AND(J8=2,J7=2,C8&gt;D7),1)+IF(AND(J8=2,J9=2,E8&gt;D9),1)+IF(AND(J8=2,J10=2,F8&gt;D10),1)+IF(AND(J8=2,J11=2,G8&gt;D11),1)+IF(AND(J8=3,J7=3,C8&gt;D7),1)+IF(AND(J8=3,J9=3,E8&gt;D9),1)+IF(AND(J8=3,J10=3,F8&gt;D10),1)+IF(AND(J8=3,J11=3,G8&gt;D11),1)</f>
        <v>1</v>
      </c>
      <c r="L8" s="1305">
        <f>IF(AND(J8=1,J7=1),C8-D7)+IF(AND(J8=1,J9=1),E8-D9)+IF(AND(J8=1,J10=1),F8-D10)+IF(AND(J8=1,J11=1),G8-D11)+IF(AND(J8=2,J7=2),C8-D7)+IF(AND(J8=2,J9=2),E8-D9)+IF(AND(J8=2,J10=2),F8-D10)+IF(AND(J8=2,J11=2),G8-D11)+IF(AND(J8=3,J7=3),C8-D7)+IF(AND(J8=3,J9=3),E8-D9)+IF(AND(J8=3,J10=3),F8-D10)+IF(AND(J8=3,J11=3),G8-D11)</f>
        <v>9</v>
      </c>
      <c r="M8" s="515">
        <f t="shared" ref="M8:M11" si="2">10000*J8+K8*100+L8</f>
        <v>20109</v>
      </c>
      <c r="P8" s="498"/>
      <c r="Q8" s="517"/>
      <c r="R8" s="499">
        <f t="shared" ref="R8:R60" si="3">SUM(T8:AB8)</f>
        <v>612.29999999999995</v>
      </c>
      <c r="S8" s="603" t="str">
        <f t="shared" ref="S8:S60" si="4">IFERROR(LEFT($B8,(FIND(",",$B8,1)-1)),"")</f>
        <v>Aarne Välja</v>
      </c>
      <c r="T8" s="604">
        <f>IFERROR(INDEX(Reit!$I:$I,MATCH(S8,Reit!$F:$F,0)),"")</f>
        <v>260</v>
      </c>
      <c r="U8" s="603" t="str">
        <f t="shared" ref="U8:U60" si="5">IFERROR(MID($B8,FIND("^",SUBSTITUTE($B8,", ","^",1))+2,FIND("^",SUBSTITUTE($B8,", ","^",2))-FIND("^",SUBSTITUTE($B8,", ","^",1))-2),"")</f>
        <v>Janek Tarto</v>
      </c>
      <c r="V8" s="604">
        <f>IFERROR(INDEX(Reit!$I:$I,MATCH(U8,Reit!$F:$F,0)),"")</f>
        <v>252</v>
      </c>
      <c r="W8" s="603" t="str">
        <f t="shared" ref="W8:W60" si="6">IFERROR(MID($B8,FIND(", ",$B8,FIND(", ",$B8,FIND(", ",$B8))+1)+2,30000),"")</f>
        <v>Romek Tarto</v>
      </c>
      <c r="X8" s="604">
        <f>IFERROR(INDEX(Reit!$I:$I,MATCH(W8,Reit!$F:$F,0)),"")</f>
        <v>100.3</v>
      </c>
      <c r="Y8" s="605" t="str">
        <f t="shared" si="0"/>
        <v/>
      </c>
      <c r="Z8" s="604" t="str">
        <f>IFERROR(INDEX(Reit!$I:$I,MATCH(Y8,Reit!$F:$F,0)),"")</f>
        <v/>
      </c>
      <c r="AA8" s="603" t="str">
        <f t="shared" ref="AA8:AA60" si="7">IFERROR(MID($B8,FIND(", ",$B8,FIND(", ",$B8,FIND(", ",$B8)+1)+1)+2,30000),"")</f>
        <v/>
      </c>
      <c r="AB8" s="604" t="str">
        <f>IFERROR(INDEX(Reit!$I:$I,MATCH(AA8,Reit!$F:$F,0)),"")</f>
        <v/>
      </c>
    </row>
    <row r="9" spans="1:28" s="506" customFormat="1" x14ac:dyDescent="0.2">
      <c r="A9" s="500">
        <v>3</v>
      </c>
      <c r="B9" s="518" t="s">
        <v>666</v>
      </c>
      <c r="C9" s="510">
        <v>13</v>
      </c>
      <c r="D9" s="520">
        <v>13</v>
      </c>
      <c r="E9" s="509"/>
      <c r="F9" s="510">
        <v>2</v>
      </c>
      <c r="G9" s="510">
        <v>13</v>
      </c>
      <c r="H9" s="511" t="str">
        <f>(IF(C9-E7&gt;0,1)+IF(D9-E8&gt;0,1)+IF(F9-E10&gt;0,1)+IF(G9-E11&gt;0,1))&amp;"-"&amp;(IF(C9-E7&lt;0,1)+IF(D9-E8&lt;0,1)+IF(F9-E10&lt;0,1)+IF(G9-E11&lt;0,1))</f>
        <v>3-1</v>
      </c>
      <c r="I9" s="510" t="str">
        <f>IF(AND(B9&lt;&gt;"",M$6=TRUE),A$6&amp;RANK(M9,M$7:M$11,0),"")</f>
        <v>1</v>
      </c>
      <c r="J9" s="512">
        <f t="shared" si="1"/>
        <v>3</v>
      </c>
      <c r="K9" s="519">
        <f>IF(AND(J9=1,J7=1,C9&gt;E7),1)+IF(AND(J9=1,J8=1,D9&gt;E8),1)+IF(AND(J9=1,J10=1,F9&gt;E10),1)+IF(AND(J9=1,J11=1,G9&gt;E11),1)+IF(AND(J9=2,J7=2,C9&gt;E7),1)+IF(AND(J9=2,J8=2,D9&gt;E8),1)+IF(AND(J9=2,J10=2,F9&gt;E10),1)+IF(AND(J9=2,J11=2,G9&gt;E11),1)+IF(AND(J9=3,J7=3,C9&gt;E7),1)+IF(AND(J9=3,J8=3,D9&gt;E8),1)+IF(AND(J9=3,J10=3,F9&gt;E10),1)+IF(AND(J9=3,J11=3,G9&gt;E11),1)</f>
        <v>0</v>
      </c>
      <c r="L9" s="1305">
        <f>IF(AND(J9=1,J7=1),C9-E7)+IF(AND(J9=1,J8=1),D9-E8)+IF(AND(J9=1,J10=1),F9-E10)+IF(AND(J9=1,J11=1),G9-E11)+IF(AND(J9=2,J7=2),C9-E7)+IF(AND(J9=2,J8=2),D9-E8)+IF(AND(J9=2,J10=2),F9-E10)+IF(AND(J9=2,J11=2),G9-E11)+IF(AND(J9=3,J7=3),C9-E7)+IF(AND(J9=3,J8=3),D9-E8)+IF(AND(J9=3,J10=3),F9-E10)+IF(AND(J9=3,J11=3),G9-E11)</f>
        <v>0</v>
      </c>
      <c r="M9" s="515">
        <f t="shared" si="2"/>
        <v>30000</v>
      </c>
      <c r="P9" s="536"/>
      <c r="Q9" s="517"/>
      <c r="R9" s="499">
        <f t="shared" si="3"/>
        <v>624</v>
      </c>
      <c r="S9" s="603" t="str">
        <f t="shared" si="4"/>
        <v>Elmo Lageda</v>
      </c>
      <c r="T9" s="604">
        <f>IFERROR(INDEX(Reit!$I:$I,MATCH(S9,Reit!$F:$F,0)),"")</f>
        <v>282</v>
      </c>
      <c r="U9" s="603" t="str">
        <f t="shared" si="5"/>
        <v>Tõnu Piik</v>
      </c>
      <c r="V9" s="604">
        <f>IFERROR(INDEX(Reit!$I:$I,MATCH(U9,Reit!$F:$F,0)),"")</f>
        <v>268</v>
      </c>
      <c r="W9" s="603" t="str">
        <f t="shared" si="6"/>
        <v>Ülo Piik</v>
      </c>
      <c r="X9" s="604">
        <f>IFERROR(INDEX(Reit!$I:$I,MATCH(W9,Reit!$F:$F,0)),"")</f>
        <v>74</v>
      </c>
      <c r="Y9" s="605" t="str">
        <f t="shared" si="0"/>
        <v/>
      </c>
      <c r="Z9" s="604" t="str">
        <f>IFERROR(INDEX(Reit!$I:$I,MATCH(Y9,Reit!$F:$F,0)),"")</f>
        <v/>
      </c>
      <c r="AA9" s="603" t="str">
        <f t="shared" si="7"/>
        <v/>
      </c>
      <c r="AB9" s="604" t="str">
        <f>IFERROR(INDEX(Reit!$I:$I,MATCH(AA9,Reit!$F:$F,0)),"")</f>
        <v/>
      </c>
    </row>
    <row r="10" spans="1:28" s="506" customFormat="1" x14ac:dyDescent="0.2">
      <c r="A10" s="500">
        <v>4</v>
      </c>
      <c r="B10" s="521" t="s">
        <v>667</v>
      </c>
      <c r="C10" s="510">
        <v>9</v>
      </c>
      <c r="D10" s="520">
        <v>13</v>
      </c>
      <c r="E10" s="510">
        <v>13</v>
      </c>
      <c r="F10" s="509"/>
      <c r="G10" s="522">
        <v>10</v>
      </c>
      <c r="H10" s="511" t="str">
        <f>(IF(C10-F7&gt;0,1)+IF(D10-F8&gt;0,1)+IF(E10-F9&gt;0,1)+IF(G10-F11&gt;0,1))&amp;"-"&amp;(IF(C10-F7&lt;0,1)+IF(D10-F8&lt;0,1)+IF(E10-F9&lt;0,1)+IF(G10-F11&lt;0,1))</f>
        <v>2-2</v>
      </c>
      <c r="I10" s="510" t="str">
        <f t="shared" ref="I10:I11" si="8">IF(AND(B10&lt;&gt;"",M$6=TRUE),A$6&amp;RANK(M10,M$7:M$11,0),"")</f>
        <v>3</v>
      </c>
      <c r="J10" s="512">
        <f t="shared" si="1"/>
        <v>2</v>
      </c>
      <c r="K10" s="519">
        <f>IF(AND(J10=1,J7=1,C10&gt;F7),1)+IF(AND(J10=1,J8=1,D10&gt;F8),1)+IF(AND(J10=1,J9=1,E10&gt;F9),1)+IF(AND(J10=1,J11=1,G10&gt;F11),1)+IF(AND(J10=2,J7=2,C10&gt;F7),1)+IF(AND(J10=2,J8=2,D10&gt;F8),1)+IF(AND(J10=2,J9=2,E10&gt;F9),1)+IF(AND(J10=2,J11=2,G10&gt;F11),1)+IF(AND(J10=3,J7=3,C10&gt;F7),1)+IF(AND(J10=3,J8=3,D10&gt;F8),1)+IF(AND(J10=3,J9=3,E10&gt;F9),1)+IF(AND(J10=3,J11=3,G10&gt;F11),1)</f>
        <v>1</v>
      </c>
      <c r="L10" s="1305">
        <f>IF(AND(J10=1,J7=1),C10-F7)+IF(AND(J10=1,J8=1),D10-F8)+IF(AND(J10=1,J9=1),E10-F9)+IF(AND(J10=1,J11=1),G10-F11)+IF(AND(J10=2,J7=2),C10-F7)+IF(AND(J10=2,J8=2),D10-F8)+IF(AND(J10=2,J9=2),E10-F9)+IF(AND(J10=2,J11=2),G10-F11)+IF(AND(J10=3,J7=3),C10-F7)+IF(AND(J10=3,J8=3),D10-F8)+IF(AND(J10=3,J9=3),E10-F9)+IF(AND(J10=3,J11=3),G10-F11)</f>
        <v>-1</v>
      </c>
      <c r="M10" s="515">
        <f t="shared" si="2"/>
        <v>20099</v>
      </c>
      <c r="N10" s="668"/>
      <c r="P10" s="498"/>
      <c r="Q10" s="517"/>
      <c r="R10" s="499">
        <f t="shared" si="3"/>
        <v>772</v>
      </c>
      <c r="S10" s="603" t="str">
        <f t="shared" si="4"/>
        <v>Ivar Viljaste</v>
      </c>
      <c r="T10" s="604">
        <f>IFERROR(INDEX(Reit!$I:$I,MATCH(S10,Reit!$F:$F,0)),"")</f>
        <v>338</v>
      </c>
      <c r="U10" s="603" t="str">
        <f t="shared" si="5"/>
        <v>Kristo Viljaste</v>
      </c>
      <c r="V10" s="604">
        <f>IFERROR(INDEX(Reit!$I:$I,MATCH(U10,Reit!$F:$F,0)),"")</f>
        <v>190</v>
      </c>
      <c r="W10" s="603" t="str">
        <f t="shared" si="6"/>
        <v>Matti Vinni</v>
      </c>
      <c r="X10" s="604">
        <f>IFERROR(INDEX(Reit!$I:$I,MATCH(W10,Reit!$F:$F,0)),"")</f>
        <v>244</v>
      </c>
      <c r="Y10" s="605" t="str">
        <f t="shared" si="0"/>
        <v/>
      </c>
      <c r="Z10" s="604" t="str">
        <f>IFERROR(INDEX(Reit!$I:$I,MATCH(Y10,Reit!$F:$F,0)),"")</f>
        <v/>
      </c>
      <c r="AA10" s="603" t="str">
        <f t="shared" si="7"/>
        <v/>
      </c>
      <c r="AB10" s="604" t="str">
        <f>IFERROR(INDEX(Reit!$I:$I,MATCH(AA10,Reit!$F:$F,0)),"")</f>
        <v/>
      </c>
    </row>
    <row r="11" spans="1:28" s="506" customFormat="1" x14ac:dyDescent="0.2">
      <c r="A11" s="500">
        <v>5</v>
      </c>
      <c r="B11" s="521" t="s">
        <v>668</v>
      </c>
      <c r="C11" s="510">
        <v>1</v>
      </c>
      <c r="D11" s="510">
        <v>7</v>
      </c>
      <c r="E11" s="510">
        <v>2</v>
      </c>
      <c r="F11" s="510">
        <v>13</v>
      </c>
      <c r="G11" s="509"/>
      <c r="H11" s="511" t="str">
        <f>(IF(C11-G7&gt;0,1)+IF(D11-G8&gt;0,1)+IF(E11-G9&gt;0,1)+IF(F11-G10&gt;0,1))&amp;"-"&amp;(IF(C11-G7&lt;0,1)+IF(D11-G8&lt;0,1)+IF(E11-G9&lt;0,1)+IF(F11-G10&lt;0,1))</f>
        <v>1-3</v>
      </c>
      <c r="I11" s="510" t="str">
        <f t="shared" si="8"/>
        <v>5</v>
      </c>
      <c r="J11" s="512">
        <f t="shared" si="1"/>
        <v>1</v>
      </c>
      <c r="K11" s="519">
        <f>IF(AND(J11=1,J7=1,C11&gt;G7),1)+IF(AND(J11=1,J8=1,D11&gt;G8),1)+IF(AND(J11=1,J9=1,E11&gt;G9),1)+IF(AND(J11=1,J10=1,F11&gt;G10),1)+IF(AND(J11=2,J7=2,C11&gt;G7),1)+IF(AND(J11=2,J8=2,D11&gt;G8),1)+IF(AND(J11=2,J9=2,E11&gt;G9),1)+IF(AND(J11=2,J10=2,F11&gt;G10),1)+IF(AND(J11=3,J7=3,C11&gt;G7),1)+IF(AND(J11=3,J8=3,D11&gt;G8),1)+IF(AND(J11=3,J9=3,E11&gt;G9),1)+IF(AND(J11=3,J10=3,F11&gt;G10),1)</f>
        <v>0</v>
      </c>
      <c r="L11" s="1305">
        <f>IF(AND(J11=1,J7=1),C11-G7)+IF(AND(J11=1,J8=1),D11-G8)+IF(AND(J11=1,J9=1),E11-G9)+IF(AND(J11=1,J10=1),F11-G10)+IF(AND(J11=2,J7=2),C11-G7)+IF(AND(J11=2,J8=2),D11-G8)+IF(AND(J11=2,J9=2),E11-G9)+IF(AND(J11=2,J10=2),F11-G10)+IF(AND(J11=3,J7=3),C11-G7)+IF(AND(J11=3,J8=3),D11-G8)+IF(AND(J11=3,J9=3),E11-G9)+IF(AND(J11=3,J10=3),F11-G10)</f>
        <v>0</v>
      </c>
      <c r="M11" s="515">
        <f t="shared" si="2"/>
        <v>10000</v>
      </c>
      <c r="P11" s="498"/>
      <c r="Q11" s="517"/>
      <c r="R11" s="499">
        <f t="shared" si="3"/>
        <v>434</v>
      </c>
      <c r="S11" s="603" t="str">
        <f t="shared" si="4"/>
        <v>Boriss Klubov</v>
      </c>
      <c r="T11" s="604">
        <f>IFERROR(INDEX(Reit!$I:$I,MATCH(S11,Reit!$F:$F,0)),"")</f>
        <v>258</v>
      </c>
      <c r="U11" s="603" t="str">
        <f t="shared" si="5"/>
        <v>Emil Murzajev</v>
      </c>
      <c r="V11" s="604">
        <f>IFERROR(INDEX(Reit!$I:$I,MATCH(U11,Reit!$F:$F,0)),"")</f>
        <v>93</v>
      </c>
      <c r="W11" s="603" t="str">
        <f t="shared" si="6"/>
        <v>Lemmit Toomra</v>
      </c>
      <c r="X11" s="604">
        <f>IFERROR(INDEX(Reit!$I:$I,MATCH(W11,Reit!$F:$F,0)),"")</f>
        <v>83</v>
      </c>
      <c r="Y11" s="605" t="str">
        <f t="shared" si="0"/>
        <v/>
      </c>
      <c r="Z11" s="604" t="str">
        <f>IFERROR(INDEX(Reit!$I:$I,MATCH(Y11,Reit!$F:$F,0)),"")</f>
        <v/>
      </c>
      <c r="AA11" s="603" t="str">
        <f t="shared" si="7"/>
        <v/>
      </c>
      <c r="AB11" s="604" t="str">
        <f>IFERROR(INDEX(Reit!$I:$I,MATCH(AA11,Reit!$F:$F,0)),"")</f>
        <v/>
      </c>
    </row>
    <row r="12" spans="1:28" s="506" customFormat="1" hidden="1" x14ac:dyDescent="0.2">
      <c r="A12" s="523"/>
      <c r="B12" s="524"/>
      <c r="C12" s="525"/>
      <c r="D12" s="526"/>
      <c r="E12" s="525"/>
      <c r="F12" s="527"/>
      <c r="H12" s="528"/>
      <c r="I12" s="529"/>
      <c r="J12" s="496"/>
      <c r="K12" s="530"/>
      <c r="L12" s="531"/>
      <c r="M12" s="496"/>
      <c r="N12" s="532"/>
      <c r="P12" s="498"/>
      <c r="Q12" s="277"/>
      <c r="R12" s="277"/>
      <c r="S12" s="277"/>
      <c r="T12" s="277"/>
      <c r="U12" s="277"/>
      <c r="V12" s="277"/>
      <c r="W12" s="277"/>
      <c r="X12" s="277"/>
      <c r="Y12" s="277"/>
      <c r="Z12" s="277"/>
      <c r="AA12" s="277"/>
      <c r="AB12" s="277"/>
    </row>
    <row r="13" spans="1:28" s="498" customFormat="1" hidden="1" x14ac:dyDescent="0.2">
      <c r="A13" s="500" t="s">
        <v>141</v>
      </c>
      <c r="B13" s="501"/>
      <c r="C13" s="502">
        <v>1</v>
      </c>
      <c r="D13" s="502">
        <v>2</v>
      </c>
      <c r="E13" s="502">
        <v>3</v>
      </c>
      <c r="F13" s="502">
        <v>4</v>
      </c>
      <c r="G13" s="502">
        <v>5</v>
      </c>
      <c r="H13" s="501" t="s">
        <v>363</v>
      </c>
      <c r="I13" s="501" t="s">
        <v>26</v>
      </c>
      <c r="J13" s="533" t="s">
        <v>156</v>
      </c>
      <c r="K13" s="504" t="s">
        <v>156</v>
      </c>
      <c r="L13" s="534" t="s">
        <v>364</v>
      </c>
      <c r="M13" s="535" t="b">
        <f>OR(AND(COUNTA(B14:B18)=3,COUNTA(C14:G18)=6),AND(COUNTA(B14:B18)=4,COUNTA(C14:G18)=12),AND(COUNTA(B14:B18)=5,COUNTA(C14:G18)=20))</f>
        <v>0</v>
      </c>
      <c r="N13" s="536"/>
      <c r="Q13" s="277"/>
      <c r="R13" s="277"/>
      <c r="S13" s="277"/>
      <c r="T13" s="277"/>
      <c r="U13" s="277"/>
      <c r="V13" s="277"/>
      <c r="W13" s="277"/>
      <c r="X13" s="277"/>
      <c r="Y13" s="277"/>
      <c r="Z13" s="277"/>
      <c r="AA13" s="277"/>
      <c r="AB13" s="277"/>
    </row>
    <row r="14" spans="1:28" s="498" customFormat="1" hidden="1" x14ac:dyDescent="0.2">
      <c r="A14" s="500">
        <v>1</v>
      </c>
      <c r="B14" s="508"/>
      <c r="C14" s="509"/>
      <c r="D14" s="510"/>
      <c r="E14" s="510"/>
      <c r="F14" s="510"/>
      <c r="G14" s="510"/>
      <c r="H14" s="511" t="str">
        <f>(IF(D14-C15&gt;0,1)+IF(E14-C16&gt;0,1)+IF(F14-C17&gt;0,1)+IF(G14-C18&gt;0,1))&amp;"-"&amp;(IF(D14-C15&lt;0,1)+IF(E14-C16&lt;0,1)+IF(F14-C17&lt;0,1)+IF(G14-C18&lt;0,1))</f>
        <v>0-0</v>
      </c>
      <c r="I14" s="510" t="str">
        <f t="shared" ref="I14:I18" si="9">IF(AND(B14&lt;&gt;"",M$13=TRUE),A$13&amp;RANK(M14,M$14:M$18,0),"")</f>
        <v/>
      </c>
      <c r="J14" s="512">
        <f>VALUE(LEFT(H14,1))</f>
        <v>0</v>
      </c>
      <c r="K14" s="513">
        <f>IF(AND(J14=1,J15=1,D14&gt;C15),1)+IF(AND(J14=1,J16=1,E14&gt;C16),1)+IF(AND(J14=1,J17=1,F14&gt;C17),1)+IF(AND(J14=1,J18=1,G14&gt;C18),1)+IF(AND(J14=2,J15=2,D14&gt;C15),1)+IF(AND(J14=2,J16=2,E14&gt;C16),1)+IF(AND(J14=2,J17=2,F14&gt;C17),1)+IF(AND(J14=2,J18=2,G14&gt;C18),1)+IF(AND(J14=3,J15=3,D14&gt;C15),1)+IF(AND(J14=3,J16=3,E14&gt;C16),1)+IF(AND(J14=3,J17=3,F14&gt;C17),1)+IF(AND(J14=3,J18=3,G14&gt;C18),1)</f>
        <v>0</v>
      </c>
      <c r="L14" s="1305"/>
      <c r="M14" s="515">
        <f>10000*J14+K14*100+L14</f>
        <v>0</v>
      </c>
      <c r="N14" s="668"/>
      <c r="Q14" s="277"/>
      <c r="R14" s="499">
        <f t="shared" si="3"/>
        <v>0</v>
      </c>
      <c r="S14" s="603" t="str">
        <f t="shared" si="4"/>
        <v/>
      </c>
      <c r="T14" s="604" t="str">
        <f>IFERROR(INDEX(Reit!$I:$I,MATCH(S14,Reit!$F:$F,0)),"")</f>
        <v/>
      </c>
      <c r="U14" s="603" t="str">
        <f t="shared" si="5"/>
        <v/>
      </c>
      <c r="V14" s="604" t="str">
        <f>IFERROR(INDEX(Reit!$I:$I,MATCH(U14,Reit!$F:$F,0)),"")</f>
        <v/>
      </c>
      <c r="W14" s="603" t="str">
        <f t="shared" si="6"/>
        <v/>
      </c>
      <c r="X14" s="604" t="str">
        <f>IFERROR(INDEX(Reit!$I:$I,MATCH(W14,Reit!$F:$F,0)),"")</f>
        <v/>
      </c>
      <c r="Y14" s="605" t="str">
        <f t="shared" si="0"/>
        <v/>
      </c>
      <c r="Z14" s="604" t="str">
        <f>IFERROR(INDEX(Reit!$I:$I,MATCH(Y14,Reit!$F:$F,0)),"")</f>
        <v/>
      </c>
      <c r="AA14" s="603" t="str">
        <f t="shared" si="7"/>
        <v/>
      </c>
      <c r="AB14" s="604" t="str">
        <f>IFERROR(INDEX(Reit!$I:$I,MATCH(AA14,Reit!$F:$F,0)),"")</f>
        <v/>
      </c>
    </row>
    <row r="15" spans="1:28" s="498" customFormat="1" hidden="1" x14ac:dyDescent="0.2">
      <c r="A15" s="500">
        <v>2</v>
      </c>
      <c r="B15" s="518"/>
      <c r="C15" s="510"/>
      <c r="D15" s="509"/>
      <c r="E15" s="510"/>
      <c r="F15" s="510"/>
      <c r="G15" s="510"/>
      <c r="H15" s="511" t="str">
        <f>(IF(C15-D14&gt;0,1)+IF(E15-D16&gt;0,1)+IF(F15-D17&gt;0,1)+IF(G15-D18&gt;0,1))&amp;"-"&amp;(IF(C15-D14&lt;0,1)+IF(E15-D16&lt;0,1)+IF(F15-D17&lt;0,1)+IF(G15-D18&lt;0,1))</f>
        <v>0-0</v>
      </c>
      <c r="I15" s="510" t="str">
        <f t="shared" si="9"/>
        <v/>
      </c>
      <c r="J15" s="512">
        <f t="shared" ref="J15:J18" si="10">VALUE(LEFT(H15,1))</f>
        <v>0</v>
      </c>
      <c r="K15" s="519">
        <f>IF(AND(J15=1,J14=1,C15&gt;D14),1)+IF(AND(J15=1,J16=1,E15&gt;D16),1)+IF(AND(J15=1,J17=1,F15&gt;D17),1)+IF(AND(J15=1,J18=1,G15&gt;D18),1)+IF(AND(J15=2,J14=2,C15&gt;D14),1)+IF(AND(J15=2,J16=2,E15&gt;D16),1)+IF(AND(J15=2,J17=2,F15&gt;D17),1)+IF(AND(J15=2,J18=2,G15&gt;D18),1)+IF(AND(J15=3,J14=3,C15&gt;D14),1)+IF(AND(J15=3,J16=3,E15&gt;D16),1)+IF(AND(J15=3,J17=3,F15&gt;D17),1)+IF(AND(J15=3,J18=3,G15&gt;D18),1)</f>
        <v>0</v>
      </c>
      <c r="L15" s="1305">
        <f>IF(AND(J15=1,J14=1),C15-D14)+IF(AND(J15=1,J16=1),E15-D16)+IF(AND(J15=1,J17=1),F15-D17)+IF(AND(J15=1,J18=1),G15-D18)+IF(AND(J15=2,J14=2),C15-D14)+IF(AND(J15=2,J16=2),E15-D16)+IF(AND(J15=2,J17=2),F15-D17)+IF(AND(J15=2,J18=2),G15-D18)+IF(AND(J15=3,J14=3),C15-D14)+IF(AND(J15=3,J16=3),E15-D16)+IF(AND(J15=3,J17=3),F15-D17)+IF(AND(J15=3,J18=3),G15-D18)</f>
        <v>0</v>
      </c>
      <c r="M15" s="515">
        <f t="shared" ref="M15:M18" si="11">10000*J15+K15*100+L15</f>
        <v>0</v>
      </c>
      <c r="N15" s="668"/>
      <c r="Q15" s="277"/>
      <c r="R15" s="499">
        <f t="shared" si="3"/>
        <v>0</v>
      </c>
      <c r="S15" s="603" t="str">
        <f t="shared" si="4"/>
        <v/>
      </c>
      <c r="T15" s="604" t="str">
        <f>IFERROR(INDEX(Reit!$I:$I,MATCH(S15,Reit!$F:$F,0)),"")</f>
        <v/>
      </c>
      <c r="U15" s="603" t="str">
        <f t="shared" si="5"/>
        <v/>
      </c>
      <c r="V15" s="604" t="str">
        <f>IFERROR(INDEX(Reit!$I:$I,MATCH(U15,Reit!$F:$F,0)),"")</f>
        <v/>
      </c>
      <c r="W15" s="603" t="str">
        <f t="shared" si="6"/>
        <v/>
      </c>
      <c r="X15" s="604" t="str">
        <f>IFERROR(INDEX(Reit!$I:$I,MATCH(W15,Reit!$F:$F,0)),"")</f>
        <v/>
      </c>
      <c r="Y15" s="605" t="str">
        <f t="shared" si="0"/>
        <v/>
      </c>
      <c r="Z15" s="604" t="str">
        <f>IFERROR(INDEX(Reit!$I:$I,MATCH(Y15,Reit!$F:$F,0)),"")</f>
        <v/>
      </c>
      <c r="AA15" s="603" t="str">
        <f t="shared" si="7"/>
        <v/>
      </c>
      <c r="AB15" s="604" t="str">
        <f>IFERROR(INDEX(Reit!$I:$I,MATCH(AA15,Reit!$F:$F,0)),"")</f>
        <v/>
      </c>
    </row>
    <row r="16" spans="1:28" s="498" customFormat="1" hidden="1" x14ac:dyDescent="0.2">
      <c r="A16" s="500">
        <v>3</v>
      </c>
      <c r="B16" s="518"/>
      <c r="C16" s="510"/>
      <c r="D16" s="520"/>
      <c r="E16" s="509"/>
      <c r="F16" s="510"/>
      <c r="G16" s="510"/>
      <c r="H16" s="511" t="str">
        <f>(IF(C16-E14&gt;0,1)+IF(D16-E15&gt;0,1)+IF(F16-E17&gt;0,1)+IF(G16-E18&gt;0,1))&amp;"-"&amp;(IF(C16-E14&lt;0,1)+IF(D16-E15&lt;0,1)+IF(F16-E17&lt;0,1)+IF(G16-E18&lt;0,1))</f>
        <v>0-0</v>
      </c>
      <c r="I16" s="510" t="str">
        <f t="shared" si="9"/>
        <v/>
      </c>
      <c r="J16" s="512">
        <f t="shared" si="10"/>
        <v>0</v>
      </c>
      <c r="K16" s="519">
        <f>IF(AND(J16=1,J14=1,C16&gt;E14),1)+IF(AND(J16=1,J15=1,D16&gt;E15),1)+IF(AND(J16=1,J17=1,F16&gt;E17),1)+IF(AND(J16=1,J18=1,G16&gt;E18),1)+IF(AND(J16=2,J14=2,C16&gt;E14),1)+IF(AND(J16=2,J15=2,D16&gt;E15),1)+IF(AND(J16=2,J17=2,F16&gt;E17),1)+IF(AND(J16=2,J18=2,G16&gt;E18),1)+IF(AND(J16=3,J14=3,C16&gt;E14),1)+IF(AND(J16=3,J15=3,D16&gt;E15),1)+IF(AND(J16=3,J17=3,F16&gt;E17),1)+IF(AND(J16=3,J18=3,G16&gt;E18),1)</f>
        <v>0</v>
      </c>
      <c r="L16" s="1305">
        <f>IF(AND(J16=1,J14=1),C16-E14)+IF(AND(J16=1,J15=1),D16-E15)+IF(AND(J16=1,J17=1),F16-E17)+IF(AND(J16=1,J18=1),G16-E18)+IF(AND(J16=2,J14=2),C16-E14)+IF(AND(J16=2,J15=2),D16-E15)+IF(AND(J16=2,J17=2),F16-E17)+IF(AND(J16=2,J18=2),G16-E18)+IF(AND(J16=3,J14=3),C16-E14)+IF(AND(J16=3,J15=3),D16-E15)+IF(AND(J16=3,J17=3),F16-E17)+IF(AND(J16=3,J18=3),G16-E18)</f>
        <v>0</v>
      </c>
      <c r="M16" s="515">
        <f t="shared" si="11"/>
        <v>0</v>
      </c>
      <c r="N16" s="668"/>
      <c r="Q16" s="277"/>
      <c r="R16" s="499">
        <f t="shared" si="3"/>
        <v>0</v>
      </c>
      <c r="S16" s="603" t="str">
        <f t="shared" si="4"/>
        <v/>
      </c>
      <c r="T16" s="604" t="str">
        <f>IFERROR(INDEX(Reit!$I:$I,MATCH(S16,Reit!$F:$F,0)),"")</f>
        <v/>
      </c>
      <c r="U16" s="603" t="str">
        <f t="shared" si="5"/>
        <v/>
      </c>
      <c r="V16" s="604" t="str">
        <f>IFERROR(INDEX(Reit!$I:$I,MATCH(U16,Reit!$F:$F,0)),"")</f>
        <v/>
      </c>
      <c r="W16" s="603" t="str">
        <f t="shared" si="6"/>
        <v/>
      </c>
      <c r="X16" s="604" t="str">
        <f>IFERROR(INDEX(Reit!$I:$I,MATCH(W16,Reit!$F:$F,0)),"")</f>
        <v/>
      </c>
      <c r="Y16" s="605" t="str">
        <f t="shared" si="0"/>
        <v/>
      </c>
      <c r="Z16" s="604" t="str">
        <f>IFERROR(INDEX(Reit!$I:$I,MATCH(Y16,Reit!$F:$F,0)),"")</f>
        <v/>
      </c>
      <c r="AA16" s="603" t="str">
        <f t="shared" si="7"/>
        <v/>
      </c>
      <c r="AB16" s="604" t="str">
        <f>IFERROR(INDEX(Reit!$I:$I,MATCH(AA16,Reit!$F:$F,0)),"")</f>
        <v/>
      </c>
    </row>
    <row r="17" spans="1:28" s="498" customFormat="1" hidden="1" x14ac:dyDescent="0.2">
      <c r="A17" s="500">
        <v>4</v>
      </c>
      <c r="B17" s="521"/>
      <c r="C17" s="510"/>
      <c r="D17" s="520"/>
      <c r="E17" s="510"/>
      <c r="F17" s="509"/>
      <c r="G17" s="522"/>
      <c r="H17" s="511" t="str">
        <f>(IF(C17-F14&gt;0,1)+IF(D17-F15&gt;0,1)+IF(E17-F16&gt;0,1)+IF(G17-F18&gt;0,1))&amp;"-"&amp;(IF(C17-F14&lt;0,1)+IF(D17-F15&lt;0,1)+IF(E17-F16&lt;0,1)+IF(G17-F18&lt;0,1))</f>
        <v>0-0</v>
      </c>
      <c r="I17" s="510" t="str">
        <f t="shared" si="9"/>
        <v/>
      </c>
      <c r="J17" s="512">
        <f t="shared" si="10"/>
        <v>0</v>
      </c>
      <c r="K17" s="519">
        <f>IF(AND(J17=1,J14=1,C17&gt;F14),1)+IF(AND(J17=1,J15=1,D17&gt;F15),1)+IF(AND(J17=1,J16=1,E17&gt;F16),1)+IF(AND(J17=1,J18=1,G17&gt;F18),1)+IF(AND(J17=2,J14=2,C17&gt;F14),1)+IF(AND(J17=2,J15=2,D17&gt;F15),1)+IF(AND(J17=2,J16=2,E17&gt;F16),1)+IF(AND(J17=2,J18=2,G17&gt;F18),1)+IF(AND(J17=3,J14=3,C17&gt;F14),1)+IF(AND(J17=3,J15=3,D17&gt;F15),1)+IF(AND(J17=3,J16=3,E17&gt;F16),1)+IF(AND(J17=3,J18=3,G17&gt;F18),1)</f>
        <v>0</v>
      </c>
      <c r="L17" s="1305">
        <f>IF(AND(J17=1,J14=1),C17-F14)+IF(AND(J17=1,J15=1),D17-F15)+IF(AND(J17=1,J16=1),E17-F16)+IF(AND(J17=1,J18=1),G17-F18)+IF(AND(J17=2,J14=2),C17-F14)+IF(AND(J17=2,J15=2),D17-F15)+IF(AND(J17=2,J16=2),E17-F16)+IF(AND(J17=2,J18=2),G17-F18)+IF(AND(J17=3,J14=3),C17-F14)+IF(AND(J17=3,J15=3),D17-F15)+IF(AND(J17=3,J16=3),E17-F16)+IF(AND(J17=3,J18=3),G17-F18)</f>
        <v>0</v>
      </c>
      <c r="M17" s="515">
        <f t="shared" si="11"/>
        <v>0</v>
      </c>
      <c r="Q17" s="277"/>
      <c r="R17" s="499">
        <f t="shared" si="3"/>
        <v>0</v>
      </c>
      <c r="S17" s="603" t="str">
        <f t="shared" si="4"/>
        <v/>
      </c>
      <c r="T17" s="604" t="str">
        <f>IFERROR(INDEX(Reit!$I:$I,MATCH(S17,Reit!$F:$F,0)),"")</f>
        <v/>
      </c>
      <c r="U17" s="603" t="str">
        <f t="shared" si="5"/>
        <v/>
      </c>
      <c r="V17" s="604" t="str">
        <f>IFERROR(INDEX(Reit!$I:$I,MATCH(U17,Reit!$F:$F,0)),"")</f>
        <v/>
      </c>
      <c r="W17" s="603" t="str">
        <f t="shared" si="6"/>
        <v/>
      </c>
      <c r="X17" s="604" t="str">
        <f>IFERROR(INDEX(Reit!$I:$I,MATCH(W17,Reit!$F:$F,0)),"")</f>
        <v/>
      </c>
      <c r="Y17" s="605" t="str">
        <f t="shared" si="0"/>
        <v/>
      </c>
      <c r="Z17" s="604" t="str">
        <f>IFERROR(INDEX(Reit!$I:$I,MATCH(Y17,Reit!$F:$F,0)),"")</f>
        <v/>
      </c>
      <c r="AA17" s="603" t="str">
        <f t="shared" si="7"/>
        <v/>
      </c>
      <c r="AB17" s="604" t="str">
        <f>IFERROR(INDEX(Reit!$I:$I,MATCH(AA17,Reit!$F:$F,0)),"")</f>
        <v/>
      </c>
    </row>
    <row r="18" spans="1:28" s="498" customFormat="1" hidden="1" x14ac:dyDescent="0.2">
      <c r="A18" s="500">
        <v>5</v>
      </c>
      <c r="B18" s="521"/>
      <c r="C18" s="510"/>
      <c r="D18" s="510"/>
      <c r="E18" s="510"/>
      <c r="F18" s="510"/>
      <c r="G18" s="509"/>
      <c r="H18" s="511" t="str">
        <f>(IF(C18-G14&gt;0,1)+IF(D18-G15&gt;0,1)+IF(E18-G16&gt;0,1)+IF(F18-G17&gt;0,1))&amp;"-"&amp;(IF(C18-G14&lt;0,1)+IF(D18-G15&lt;0,1)+IF(E18-G16&lt;0,1)+IF(F18-G17&lt;0,1))</f>
        <v>0-0</v>
      </c>
      <c r="I18" s="510" t="str">
        <f t="shared" si="9"/>
        <v/>
      </c>
      <c r="J18" s="512">
        <f t="shared" si="10"/>
        <v>0</v>
      </c>
      <c r="K18" s="519">
        <f>IF(AND(J18=1,J14=1,C18&gt;G14),1)+IF(AND(J18=1,J15=1,D18&gt;G15),1)+IF(AND(J18=1,J16=1,E18&gt;G16),1)+IF(AND(J18=1,J17=1,F18&gt;G17),1)+IF(AND(J18=2,J14=2,C18&gt;G14),1)+IF(AND(J18=2,J15=2,D18&gt;G15),1)+IF(AND(J18=2,J16=2,E18&gt;G16),1)+IF(AND(J18=2,J17=2,F18&gt;G17),1)+IF(AND(J18=3,J14=3,C18&gt;G14),1)+IF(AND(J18=3,J15=3,D18&gt;G15),1)+IF(AND(J18=3,J16=3,E18&gt;G16),1)+IF(AND(J18=3,J17=3,F18&gt;G17),1)</f>
        <v>0</v>
      </c>
      <c r="L18" s="1305">
        <f>IF(AND(J18=1,J14=1),C18-G14)+IF(AND(J18=1,J15=1),D18-G15)+IF(AND(J18=1,J16=1),E18-G16)+IF(AND(J18=1,J17=1),F18-G17)+IF(AND(J18=2,J14=2),C18-G14)+IF(AND(J18=2,J15=2),D18-G15)+IF(AND(J18=2,J16=2),E18-G16)+IF(AND(J18=2,J17=2),F18-G17)+IF(AND(J18=3,J14=3),C18-G14)+IF(AND(J18=3,J15=3),D18-G15)+IF(AND(J18=3,J16=3),E18-G16)+IF(AND(J18=3,J17=3),F18-G17)</f>
        <v>0</v>
      </c>
      <c r="M18" s="515">
        <f t="shared" si="11"/>
        <v>0</v>
      </c>
      <c r="Q18" s="277"/>
      <c r="R18" s="499">
        <f t="shared" si="3"/>
        <v>0</v>
      </c>
      <c r="S18" s="603" t="str">
        <f t="shared" si="4"/>
        <v/>
      </c>
      <c r="T18" s="604" t="str">
        <f>IFERROR(INDEX(Reit!$I:$I,MATCH(S18,Reit!$F:$F,0)),"")</f>
        <v/>
      </c>
      <c r="U18" s="603" t="str">
        <f t="shared" si="5"/>
        <v/>
      </c>
      <c r="V18" s="604" t="str">
        <f>IFERROR(INDEX(Reit!$I:$I,MATCH(U18,Reit!$F:$F,0)),"")</f>
        <v/>
      </c>
      <c r="W18" s="603" t="str">
        <f t="shared" si="6"/>
        <v/>
      </c>
      <c r="X18" s="604" t="str">
        <f>IFERROR(INDEX(Reit!$I:$I,MATCH(W18,Reit!$F:$F,0)),"")</f>
        <v/>
      </c>
      <c r="Y18" s="605" t="str">
        <f t="shared" si="0"/>
        <v/>
      </c>
      <c r="Z18" s="604" t="str">
        <f>IFERROR(INDEX(Reit!$I:$I,MATCH(Y18,Reit!$F:$F,0)),"")</f>
        <v/>
      </c>
      <c r="AA18" s="603" t="str">
        <f t="shared" si="7"/>
        <v/>
      </c>
      <c r="AB18" s="604" t="str">
        <f>IFERROR(INDEX(Reit!$I:$I,MATCH(AA18,Reit!$F:$F,0)),"")</f>
        <v/>
      </c>
    </row>
    <row r="19" spans="1:28" s="506" customFormat="1" hidden="1" x14ac:dyDescent="0.2">
      <c r="A19" s="523"/>
      <c r="B19" s="524"/>
      <c r="C19" s="525"/>
      <c r="D19" s="526"/>
      <c r="E19" s="525"/>
      <c r="F19" s="527"/>
      <c r="H19" s="528"/>
      <c r="I19" s="529"/>
      <c r="J19" s="496"/>
      <c r="K19" s="537"/>
      <c r="L19" s="531"/>
      <c r="M19" s="496"/>
      <c r="N19" s="668"/>
      <c r="P19" s="498"/>
      <c r="Q19" s="277"/>
      <c r="R19" s="277"/>
      <c r="S19" s="277"/>
      <c r="T19" s="277"/>
      <c r="U19" s="277"/>
      <c r="V19" s="277"/>
      <c r="W19" s="277"/>
      <c r="X19" s="277"/>
      <c r="Y19" s="277"/>
      <c r="Z19" s="277"/>
      <c r="AA19" s="277"/>
      <c r="AB19" s="277"/>
    </row>
    <row r="20" spans="1:28" s="498" customFormat="1" hidden="1" x14ac:dyDescent="0.2">
      <c r="A20" s="500" t="s">
        <v>142</v>
      </c>
      <c r="B20" s="501"/>
      <c r="C20" s="502">
        <v>1</v>
      </c>
      <c r="D20" s="502">
        <v>2</v>
      </c>
      <c r="E20" s="502">
        <v>3</v>
      </c>
      <c r="F20" s="502">
        <v>4</v>
      </c>
      <c r="G20" s="502">
        <v>5</v>
      </c>
      <c r="H20" s="501" t="s">
        <v>363</v>
      </c>
      <c r="I20" s="501" t="s">
        <v>26</v>
      </c>
      <c r="J20" s="533" t="s">
        <v>156</v>
      </c>
      <c r="K20" s="504" t="s">
        <v>156</v>
      </c>
      <c r="L20" s="534" t="s">
        <v>364</v>
      </c>
      <c r="M20" s="535" t="b">
        <f>OR(AND(COUNTA(B21:B25)=3,COUNTA(C21:G25)=6),AND(COUNTA(B21:B25)=4,COUNTA(C21:G25)=12),AND(COUNTA(B21:B25)=5,COUNTA(C21:G25)=20))</f>
        <v>0</v>
      </c>
      <c r="Q20" s="277"/>
      <c r="R20" s="277"/>
      <c r="S20" s="277"/>
      <c r="T20" s="277"/>
      <c r="U20" s="277"/>
      <c r="V20" s="277"/>
      <c r="W20" s="277"/>
      <c r="X20" s="277"/>
      <c r="Y20" s="277"/>
      <c r="Z20" s="277"/>
      <c r="AA20" s="277"/>
      <c r="AB20" s="277"/>
    </row>
    <row r="21" spans="1:28" s="498" customFormat="1" hidden="1" x14ac:dyDescent="0.2">
      <c r="A21" s="500">
        <v>1</v>
      </c>
      <c r="B21" s="508"/>
      <c r="C21" s="509"/>
      <c r="D21" s="510"/>
      <c r="E21" s="510"/>
      <c r="F21" s="510"/>
      <c r="G21" s="510"/>
      <c r="H21" s="511" t="str">
        <f>(IF(D21-C22&gt;0,1)+IF(E21-C23&gt;0,1)+IF(F21-C24&gt;0,1)+IF(G21-C25&gt;0,1))&amp;"-"&amp;(IF(D21-C22&lt;0,1)+IF(E21-C23&lt;0,1)+IF(F21-C24&lt;0,1)+IF(G21-C25&lt;0,1))</f>
        <v>0-0</v>
      </c>
      <c r="I21" s="510" t="str">
        <f>IF(AND(B21&lt;&gt;"",M$48=TRUE),A$48&amp;RANK(M21,M$21:M$25,0),"")</f>
        <v/>
      </c>
      <c r="J21" s="512">
        <f>VALUE(LEFT(H21,1))</f>
        <v>0</v>
      </c>
      <c r="K21" s="513">
        <f>IF(AND(J21=1,J22=1,D21&gt;C22),1)+IF(AND(J21=1,J23=1,E21&gt;C23),1)+IF(AND(J21=1,J24=1,F21&gt;C24),1)+IF(AND(J21=1,J25=1,G21&gt;C25),1)+IF(AND(J21=2,J22=2,D21&gt;C22),1)+IF(AND(J21=2,J23=2,E21&gt;C23),1)+IF(AND(J21=2,J24=2,F21&gt;C24),1)+IF(AND(J21=2,J25=2,G21&gt;C25),1)+IF(AND(J21=3,J22=3,D21&gt;C22),1)+IF(AND(J21=3,J23=3,E21&gt;C23),1)+IF(AND(J21=3,J24=3,F21&gt;C24),1)+IF(AND(J21=3,J25=3,G21&gt;C25),1)</f>
        <v>0</v>
      </c>
      <c r="L21" s="1305">
        <f>IF(AND(J21=1,J22=1),D21-C22)+IF(AND(J21=1,J23=1),E21-C23)+IF(AND(J21=1,J24=1),F21-C24)+IF(AND(J21=1,J25=1),G21-C25)+IF(AND(J21=2,J22=2),D21-C22)+IF(AND(J21=2,J23=2),E21-C23)+IF(AND(J21=2,J24=2),F21-C24)+IF(AND(J21=2,J25=2),G21-C25)+IF(AND(J21=3,J22=3),D21-C22)+IF(AND(J21=3,J23=3),E21-C23)+IF(AND(J21=3,J24=3),F21-C24)+IF(AND(J21=3,J25=3),G21-C25)</f>
        <v>0</v>
      </c>
      <c r="M21" s="515">
        <f>10000*J21+K21*100+L21</f>
        <v>0</v>
      </c>
      <c r="N21" s="668"/>
      <c r="Q21" s="277"/>
      <c r="R21" s="499">
        <f t="shared" si="3"/>
        <v>0</v>
      </c>
      <c r="S21" s="603" t="str">
        <f t="shared" si="4"/>
        <v/>
      </c>
      <c r="T21" s="604" t="str">
        <f>IFERROR(INDEX(Reit!$I:$I,MATCH(S21,Reit!$F:$F,0)),"")</f>
        <v/>
      </c>
      <c r="U21" s="603" t="str">
        <f t="shared" si="5"/>
        <v/>
      </c>
      <c r="V21" s="604" t="str">
        <f>IFERROR(INDEX(Reit!$I:$I,MATCH(U21,Reit!$F:$F,0)),"")</f>
        <v/>
      </c>
      <c r="W21" s="603" t="str">
        <f t="shared" si="6"/>
        <v/>
      </c>
      <c r="X21" s="604" t="str">
        <f>IFERROR(INDEX(Reit!$I:$I,MATCH(W21,Reit!$F:$F,0)),"")</f>
        <v/>
      </c>
      <c r="Y21" s="605" t="str">
        <f t="shared" si="0"/>
        <v/>
      </c>
      <c r="Z21" s="604" t="str">
        <f>IFERROR(INDEX(Reit!$I:$I,MATCH(Y21,Reit!$F:$F,0)),"")</f>
        <v/>
      </c>
      <c r="AA21" s="603" t="str">
        <f t="shared" si="7"/>
        <v/>
      </c>
      <c r="AB21" s="604" t="str">
        <f>IFERROR(INDEX(Reit!$I:$I,MATCH(AA21,Reit!$F:$F,0)),"")</f>
        <v/>
      </c>
    </row>
    <row r="22" spans="1:28" s="498" customFormat="1" hidden="1" x14ac:dyDescent="0.2">
      <c r="A22" s="500">
        <v>2</v>
      </c>
      <c r="B22" s="518"/>
      <c r="C22" s="510"/>
      <c r="D22" s="509"/>
      <c r="E22" s="510"/>
      <c r="F22" s="510"/>
      <c r="G22" s="510"/>
      <c r="H22" s="511" t="str">
        <f>(IF(C22-D21&gt;0,1)+IF(E22-D23&gt;0,1)+IF(F22-D24&gt;0,1)+IF(G22-D25&gt;0,1))&amp;"-"&amp;(IF(C22-D21&lt;0,1)+IF(E22-D23&lt;0,1)+IF(F22-D24&lt;0,1)+IF(G22-D25&lt;0,1))</f>
        <v>0-0</v>
      </c>
      <c r="I22" s="510" t="str">
        <f>IF(AND(B22&lt;&gt;"",M$48=TRUE),A$48&amp;RANK(M22,M$21:M$25,0),"")</f>
        <v/>
      </c>
      <c r="J22" s="512">
        <f t="shared" ref="J22:J25" si="12">VALUE(LEFT(H22,1))</f>
        <v>0</v>
      </c>
      <c r="K22" s="519">
        <f>IF(AND(J22=1,J21=1,C22&gt;D21),1)+IF(AND(J22=1,J23=1,E22&gt;D23),1)+IF(AND(J22=1,J24=1,F22&gt;D24),1)+IF(AND(J22=1,J25=1,G22&gt;D25),1)+IF(AND(J22=2,J21=2,C22&gt;D21),1)+IF(AND(J22=2,J23=2,E22&gt;D23),1)+IF(AND(J22=2,J24=2,F22&gt;D24),1)+IF(AND(J22=2,J25=2,G22&gt;D25),1)+IF(AND(J22=3,J21=3,C22&gt;D21),1)+IF(AND(J22=3,J23=3,E22&gt;D23),1)+IF(AND(J22=3,J24=3,F22&gt;D24),1)+IF(AND(J22=3,J25=3,G22&gt;D25),1)</f>
        <v>0</v>
      </c>
      <c r="L22" s="1305">
        <f>IF(AND(J22=1,J21=1),C22-D21)+IF(AND(J22=1,J23=1),E22-D23)+IF(AND(J22=1,J24=1),F22-D24)+IF(AND(J22=1,J25=1),G22-D25)+IF(AND(J22=2,J21=2),C22-D21)+IF(AND(J22=2,J23=2),E22-D23)+IF(AND(J22=2,J24=2),F22-D24)+IF(AND(J22=2,J25=2),G22-D25)+IF(AND(J22=3,J21=3),C22-D21)+IF(AND(J22=3,J23=3),E22-D23)+IF(AND(J22=3,J24=3),F22-D24)+IF(AND(J22=3,J25=3),G22-D25)</f>
        <v>0</v>
      </c>
      <c r="M22" s="515">
        <f t="shared" ref="M22:M25" si="13">10000*J22+K22*100+L22</f>
        <v>0</v>
      </c>
      <c r="Q22" s="277"/>
      <c r="R22" s="499">
        <f t="shared" si="3"/>
        <v>0</v>
      </c>
      <c r="S22" s="603" t="str">
        <f t="shared" si="4"/>
        <v/>
      </c>
      <c r="T22" s="604" t="str">
        <f>IFERROR(INDEX(Reit!$I:$I,MATCH(S22,Reit!$F:$F,0)),"")</f>
        <v/>
      </c>
      <c r="U22" s="603" t="str">
        <f t="shared" si="5"/>
        <v/>
      </c>
      <c r="V22" s="604" t="str">
        <f>IFERROR(INDEX(Reit!$I:$I,MATCH(U22,Reit!$F:$F,0)),"")</f>
        <v/>
      </c>
      <c r="W22" s="603" t="str">
        <f t="shared" si="6"/>
        <v/>
      </c>
      <c r="X22" s="604" t="str">
        <f>IFERROR(INDEX(Reit!$I:$I,MATCH(W22,Reit!$F:$F,0)),"")</f>
        <v/>
      </c>
      <c r="Y22" s="605" t="str">
        <f t="shared" si="0"/>
        <v/>
      </c>
      <c r="Z22" s="604" t="str">
        <f>IFERROR(INDEX(Reit!$I:$I,MATCH(Y22,Reit!$F:$F,0)),"")</f>
        <v/>
      </c>
      <c r="AA22" s="603" t="str">
        <f t="shared" si="7"/>
        <v/>
      </c>
      <c r="AB22" s="604" t="str">
        <f>IFERROR(INDEX(Reit!$I:$I,MATCH(AA22,Reit!$F:$F,0)),"")</f>
        <v/>
      </c>
    </row>
    <row r="23" spans="1:28" s="498" customFormat="1" hidden="1" x14ac:dyDescent="0.2">
      <c r="A23" s="500">
        <v>3</v>
      </c>
      <c r="B23" s="518"/>
      <c r="C23" s="510"/>
      <c r="D23" s="520"/>
      <c r="E23" s="509"/>
      <c r="F23" s="510"/>
      <c r="G23" s="510"/>
      <c r="H23" s="511" t="str">
        <f>(IF(C23-E21&gt;0,1)+IF(D23-E22&gt;0,1)+IF(F23-E24&gt;0,1)+IF(G23-E25&gt;0,1))&amp;"-"&amp;(IF(C23-E21&lt;0,1)+IF(D23-E22&lt;0,1)+IF(F23-E24&lt;0,1)+IF(G23-E25&lt;0,1))</f>
        <v>0-0</v>
      </c>
      <c r="I23" s="510" t="str">
        <f>IF(AND(B23&lt;&gt;"",M$48=TRUE),A$48&amp;RANK(M23,M$21:M$25,0),"")</f>
        <v/>
      </c>
      <c r="J23" s="512">
        <f t="shared" si="12"/>
        <v>0</v>
      </c>
      <c r="K23" s="519">
        <f>IF(AND(J23=1,J21=1,C23&gt;E21),1)+IF(AND(J23=1,J22=1,D23&gt;E22),1)+IF(AND(J23=1,J24=1,F23&gt;E24),1)+IF(AND(J23=1,J25=1,G23&gt;E25),1)+IF(AND(J23=2,J21=2,C23&gt;E21),1)+IF(AND(J23=2,J22=2,D23&gt;E22),1)+IF(AND(J23=2,J24=2,F23&gt;E24),1)+IF(AND(J23=2,J25=2,G23&gt;E25),1)+IF(AND(J23=3,J21=3,C23&gt;E21),1)+IF(AND(J23=3,J22=3,D23&gt;E22),1)+IF(AND(J23=3,J24=3,F23&gt;E24),1)+IF(AND(J23=3,J25=3,G23&gt;E25),1)</f>
        <v>0</v>
      </c>
      <c r="L23" s="1305">
        <f>IF(AND(J23=1,J21=1),C23-E21)+IF(AND(J23=1,J22=1),D23-E22)+IF(AND(J23=1,J24=1),F23-E24)+IF(AND(J23=1,J25=1),G23-E25)+IF(AND(J23=2,J21=2),C23-E21)+IF(AND(J23=2,J22=2),D23-E22)+IF(AND(J23=2,J24=2),F23-E24)+IF(AND(J23=2,J25=2),G23-E25)+IF(AND(J23=3,J21=3),C23-E21)+IF(AND(J23=3,J22=3),D23-E22)+IF(AND(J23=3,J24=3),F23-E24)+IF(AND(J23=3,J25=3),G23-E25)</f>
        <v>0</v>
      </c>
      <c r="M23" s="515">
        <f t="shared" si="13"/>
        <v>0</v>
      </c>
      <c r="N23" s="536"/>
      <c r="Q23" s="277"/>
      <c r="R23" s="499">
        <f t="shared" si="3"/>
        <v>0</v>
      </c>
      <c r="S23" s="603" t="str">
        <f t="shared" si="4"/>
        <v/>
      </c>
      <c r="T23" s="604" t="str">
        <f>IFERROR(INDEX(Reit!$I:$I,MATCH(S23,Reit!$F:$F,0)),"")</f>
        <v/>
      </c>
      <c r="U23" s="603" t="str">
        <f t="shared" si="5"/>
        <v/>
      </c>
      <c r="V23" s="604" t="str">
        <f>IFERROR(INDEX(Reit!$I:$I,MATCH(U23,Reit!$F:$F,0)),"")</f>
        <v/>
      </c>
      <c r="W23" s="603" t="str">
        <f t="shared" si="6"/>
        <v/>
      </c>
      <c r="X23" s="604" t="str">
        <f>IFERROR(INDEX(Reit!$I:$I,MATCH(W23,Reit!$F:$F,0)),"")</f>
        <v/>
      </c>
      <c r="Y23" s="605" t="str">
        <f t="shared" si="0"/>
        <v/>
      </c>
      <c r="Z23" s="604" t="str">
        <f>IFERROR(INDEX(Reit!$I:$I,MATCH(Y23,Reit!$F:$F,0)),"")</f>
        <v/>
      </c>
      <c r="AA23" s="603" t="str">
        <f t="shared" si="7"/>
        <v/>
      </c>
      <c r="AB23" s="604" t="str">
        <f>IFERROR(INDEX(Reit!$I:$I,MATCH(AA23,Reit!$F:$F,0)),"")</f>
        <v/>
      </c>
    </row>
    <row r="24" spans="1:28" s="498" customFormat="1" hidden="1" x14ac:dyDescent="0.2">
      <c r="A24" s="500">
        <v>4</v>
      </c>
      <c r="B24" s="521"/>
      <c r="C24" s="510"/>
      <c r="D24" s="520"/>
      <c r="E24" s="510"/>
      <c r="F24" s="509"/>
      <c r="G24" s="522"/>
      <c r="H24" s="511" t="str">
        <f>(IF(C24-F21&gt;0,1)+IF(D24-F22&gt;0,1)+IF(E24-F23&gt;0,1)+IF(G24-F25&gt;0,1))&amp;"-"&amp;(IF(C24-F21&lt;0,1)+IF(D24-F22&lt;0,1)+IF(E24-F23&lt;0,1)+IF(G24-F25&lt;0,1))</f>
        <v>0-0</v>
      </c>
      <c r="I24" s="510" t="str">
        <f>IF(AND(B24&lt;&gt;"",M$48=TRUE),A$48&amp;RANK(M24,M$21:M$25,0),"")</f>
        <v/>
      </c>
      <c r="J24" s="512">
        <f t="shared" si="12"/>
        <v>0</v>
      </c>
      <c r="K24" s="519">
        <f>IF(AND(J24=1,J21=1,C24&gt;F21),1)+IF(AND(J24=1,J22=1,D24&gt;F22),1)+IF(AND(J24=1,J23=1,E24&gt;F23),1)+IF(AND(J24=1,J25=1,G24&gt;F25),1)+IF(AND(J24=2,J21=2,C24&gt;F21),1)+IF(AND(J24=2,J22=2,D24&gt;F22),1)+IF(AND(J24=2,J23=2,E24&gt;F23),1)+IF(AND(J24=2,J25=2,G24&gt;F25),1)+IF(AND(J24=3,J21=3,C24&gt;F21),1)+IF(AND(J24=3,J22=3,D24&gt;F22),1)+IF(AND(J24=3,J23=3,E24&gt;F23),1)+IF(AND(J24=3,J25=3,G24&gt;F25),1)</f>
        <v>0</v>
      </c>
      <c r="L24" s="1305">
        <f>IF(AND(J24=1,J21=1),C24-F21)+IF(AND(J24=1,J22=1),D24-F22)+IF(AND(J24=1,J23=1),E24-F23)+IF(AND(J24=1,J25=1),G24-F25)+IF(AND(J24=2,J21=2),C24-F21)+IF(AND(J24=2,J22=2),D24-F22)+IF(AND(J24=2,J23=2),E24-F23)+IF(AND(J24=2,J25=2),G24-F25)+IF(AND(J24=3,J21=3),C24-F21)+IF(AND(J24=3,J22=3),D24-F22)+IF(AND(J24=3,J23=3),E24-F23)+IF(AND(J24=3,J25=3),G24-F25)</f>
        <v>0</v>
      </c>
      <c r="M24" s="515">
        <f t="shared" si="13"/>
        <v>0</v>
      </c>
      <c r="N24" s="668"/>
      <c r="Q24" s="277"/>
      <c r="R24" s="499">
        <f t="shared" si="3"/>
        <v>0</v>
      </c>
      <c r="S24" s="603" t="str">
        <f t="shared" si="4"/>
        <v/>
      </c>
      <c r="T24" s="604" t="str">
        <f>IFERROR(INDEX(Reit!$I:$I,MATCH(S24,Reit!$F:$F,0)),"")</f>
        <v/>
      </c>
      <c r="U24" s="603" t="str">
        <f t="shared" si="5"/>
        <v/>
      </c>
      <c r="V24" s="604" t="str">
        <f>IFERROR(INDEX(Reit!$I:$I,MATCH(U24,Reit!$F:$F,0)),"")</f>
        <v/>
      </c>
      <c r="W24" s="603" t="str">
        <f t="shared" si="6"/>
        <v/>
      </c>
      <c r="X24" s="604" t="str">
        <f>IFERROR(INDEX(Reit!$I:$I,MATCH(W24,Reit!$F:$F,0)),"")</f>
        <v/>
      </c>
      <c r="Y24" s="605" t="str">
        <f t="shared" si="0"/>
        <v/>
      </c>
      <c r="Z24" s="604" t="str">
        <f>IFERROR(INDEX(Reit!$I:$I,MATCH(Y24,Reit!$F:$F,0)),"")</f>
        <v/>
      </c>
      <c r="AA24" s="603" t="str">
        <f t="shared" si="7"/>
        <v/>
      </c>
      <c r="AB24" s="604" t="str">
        <f>IFERROR(INDEX(Reit!$I:$I,MATCH(AA24,Reit!$F:$F,0)),"")</f>
        <v/>
      </c>
    </row>
    <row r="25" spans="1:28" s="498" customFormat="1" hidden="1" x14ac:dyDescent="0.2">
      <c r="A25" s="500">
        <v>5</v>
      </c>
      <c r="B25" s="521"/>
      <c r="C25" s="510"/>
      <c r="D25" s="510"/>
      <c r="E25" s="510"/>
      <c r="F25" s="510"/>
      <c r="G25" s="509"/>
      <c r="H25" s="511" t="str">
        <f>(IF(C25-G21&gt;0,1)+IF(D25-G22&gt;0,1)+IF(E25-G23&gt;0,1)+IF(F25-G24&gt;0,1))&amp;"-"&amp;(IF(C25-G21&lt;0,1)+IF(D25-G22&lt;0,1)+IF(E25-G23&lt;0,1)+IF(F25-G24&lt;0,1))</f>
        <v>0-0</v>
      </c>
      <c r="I25" s="510" t="str">
        <f>IF(AND(B25&lt;&gt;"",M$48=TRUE),A$48&amp;RANK(M25,M$21:M$25,0),"")</f>
        <v/>
      </c>
      <c r="J25" s="512">
        <f t="shared" si="12"/>
        <v>0</v>
      </c>
      <c r="K25" s="519">
        <f>IF(AND(J25=1,J21=1,C25&gt;G21),1)+IF(AND(J25=1,J22=1,D25&gt;G22),1)+IF(AND(J25=1,J23=1,E25&gt;G23),1)+IF(AND(J25=1,J24=1,F25&gt;G24),1)+IF(AND(J25=2,J21=2,C25&gt;G21),1)+IF(AND(J25=2,J22=2,D25&gt;G22),1)+IF(AND(J25=2,J23=2,E25&gt;G23),1)+IF(AND(J25=2,J24=2,F25&gt;G24),1)+IF(AND(J25=3,J21=3,C25&gt;G21),1)+IF(AND(J25=3,J22=3,D25&gt;G22),1)+IF(AND(J25=3,J23=3,E25&gt;G23),1)+IF(AND(J25=3,J24=3,F25&gt;G24),1)</f>
        <v>0</v>
      </c>
      <c r="L25" s="1305">
        <f>IF(AND(J25=1,J21=1),C25-G21)+IF(AND(J25=1,J22=1),D25-G22)+IF(AND(J25=1,J23=1),E25-G23)+IF(AND(J25=1,J24=1),F25-G24)+IF(AND(J25=2,J21=2),C25-G21)+IF(AND(J25=2,J22=2),D25-G22)+IF(AND(J25=2,J23=2),E25-G23)+IF(AND(J25=2,J24=2),F25-G24)+IF(AND(J25=3,J21=3),C25-G21)+IF(AND(J25=3,J22=3),D25-G22)+IF(AND(J25=3,J23=3),E25-G23)+IF(AND(J25=3,J24=3),F25-G24)</f>
        <v>0</v>
      </c>
      <c r="M25" s="515">
        <f t="shared" si="13"/>
        <v>0</v>
      </c>
      <c r="Q25" s="277"/>
      <c r="R25" s="499">
        <f t="shared" si="3"/>
        <v>0</v>
      </c>
      <c r="S25" s="603" t="str">
        <f t="shared" si="4"/>
        <v/>
      </c>
      <c r="T25" s="604" t="str">
        <f>IFERROR(INDEX(Reit!$I:$I,MATCH(S25,Reit!$F:$F,0)),"")</f>
        <v/>
      </c>
      <c r="U25" s="603" t="str">
        <f t="shared" si="5"/>
        <v/>
      </c>
      <c r="V25" s="604" t="str">
        <f>IFERROR(INDEX(Reit!$I:$I,MATCH(U25,Reit!$F:$F,0)),"")</f>
        <v/>
      </c>
      <c r="W25" s="603" t="str">
        <f t="shared" si="6"/>
        <v/>
      </c>
      <c r="X25" s="604" t="str">
        <f>IFERROR(INDEX(Reit!$I:$I,MATCH(W25,Reit!$F:$F,0)),"")</f>
        <v/>
      </c>
      <c r="Y25" s="605" t="str">
        <f t="shared" si="0"/>
        <v/>
      </c>
      <c r="Z25" s="604" t="str">
        <f>IFERROR(INDEX(Reit!$I:$I,MATCH(Y25,Reit!$F:$F,0)),"")</f>
        <v/>
      </c>
      <c r="AA25" s="603" t="str">
        <f t="shared" si="7"/>
        <v/>
      </c>
      <c r="AB25" s="604" t="str">
        <f>IFERROR(INDEX(Reit!$I:$I,MATCH(AA25,Reit!$F:$F,0)),"")</f>
        <v/>
      </c>
    </row>
    <row r="26" spans="1:28" s="498" customFormat="1" hidden="1" x14ac:dyDescent="0.2">
      <c r="A26" s="538"/>
      <c r="B26" s="539"/>
      <c r="C26" s="540"/>
      <c r="D26" s="540"/>
      <c r="E26" s="540"/>
      <c r="H26" s="541"/>
      <c r="I26" s="542"/>
      <c r="J26" s="543"/>
      <c r="K26" s="530"/>
      <c r="L26" s="544"/>
      <c r="M26" s="543"/>
      <c r="N26" s="532"/>
      <c r="Q26" s="277"/>
      <c r="R26" s="277"/>
      <c r="S26" s="277"/>
      <c r="T26" s="277"/>
      <c r="U26" s="277"/>
      <c r="V26" s="277"/>
      <c r="W26" s="277"/>
      <c r="X26" s="277"/>
      <c r="Y26" s="277"/>
      <c r="Z26" s="277"/>
      <c r="AA26" s="277"/>
      <c r="AB26" s="277"/>
    </row>
    <row r="27" spans="1:28" s="506" customFormat="1" hidden="1" x14ac:dyDescent="0.2">
      <c r="A27" s="500" t="s">
        <v>143</v>
      </c>
      <c r="B27" s="501"/>
      <c r="C27" s="502">
        <v>1</v>
      </c>
      <c r="D27" s="502">
        <v>2</v>
      </c>
      <c r="E27" s="502">
        <v>3</v>
      </c>
      <c r="F27" s="502">
        <v>4</v>
      </c>
      <c r="G27" s="502">
        <v>5</v>
      </c>
      <c r="H27" s="501" t="s">
        <v>363</v>
      </c>
      <c r="I27" s="501" t="s">
        <v>26</v>
      </c>
      <c r="J27" s="533" t="s">
        <v>156</v>
      </c>
      <c r="K27" s="504" t="s">
        <v>156</v>
      </c>
      <c r="L27" s="534" t="s">
        <v>364</v>
      </c>
      <c r="M27" s="535" t="b">
        <f>OR(AND(COUNTA(B28:B32)=3,COUNTA(C28:G32)=6),AND(COUNTA(B28:B32)=4,COUNTA(C28:G32)=12),AND(COUNTA(B28:B32)=5,COUNTA(C28:G32)=20))</f>
        <v>0</v>
      </c>
      <c r="N27" s="668"/>
      <c r="O27" s="498"/>
      <c r="P27" s="498"/>
      <c r="Q27" s="277"/>
      <c r="R27" s="277"/>
      <c r="S27" s="277"/>
      <c r="T27" s="277"/>
      <c r="U27" s="277"/>
      <c r="V27" s="277"/>
      <c r="W27" s="277"/>
      <c r="X27" s="277"/>
      <c r="Y27" s="277"/>
      <c r="Z27" s="277"/>
      <c r="AA27" s="277"/>
      <c r="AB27" s="277"/>
    </row>
    <row r="28" spans="1:28" s="506" customFormat="1" hidden="1" x14ac:dyDescent="0.2">
      <c r="A28" s="500">
        <v>1</v>
      </c>
      <c r="B28" s="508"/>
      <c r="C28" s="509"/>
      <c r="D28" s="510"/>
      <c r="E28" s="510"/>
      <c r="F28" s="510"/>
      <c r="G28" s="510"/>
      <c r="H28" s="511" t="str">
        <f>(IF(D28-C29&gt;0,1)+IF(E28-C30&gt;0,1)+IF(F28-C31&gt;0,1)+IF(G28-C32&gt;0,1))&amp;"-"&amp;(IF(D28-C29&lt;0,1)+IF(E28-C30&lt;0,1)+IF(F28-C31&lt;0,1)+IF(G28-C32&lt;0,1))</f>
        <v>0-0</v>
      </c>
      <c r="I28" s="510" t="str">
        <f t="shared" ref="I28:I32" si="14">IF(AND(B28&lt;&gt;"",M$27=TRUE),A$27&amp;RANK(M28,M$28:M$32,0),"")</f>
        <v/>
      </c>
      <c r="J28" s="512">
        <f>VALUE(LEFT(H28,1))</f>
        <v>0</v>
      </c>
      <c r="K28" s="513">
        <f>IF(AND(J28=1,J29=1,D28&gt;C29),1)+IF(AND(J28=1,J30=1,E28&gt;C30),1)+IF(AND(J28=1,J31=1,F28&gt;C31),1)+IF(AND(J28=1,J32=1,G28&gt;C32),1)+IF(AND(J28=2,J29=2,D28&gt;C29),1)+IF(AND(J28=2,J30=2,E28&gt;C30),1)+IF(AND(J28=2,J31=2,F28&gt;C31),1)+IF(AND(J28=2,J32=2,G28&gt;C32),1)+IF(AND(J28=3,J29=3,D28&gt;C29),1)+IF(AND(J28=3,J30=3,E28&gt;C30),1)+IF(AND(J28=3,J31=3,F28&gt;C31),1)+IF(AND(J28=3,J32=3,G28&gt;C32),1)</f>
        <v>0</v>
      </c>
      <c r="L28" s="1305">
        <f>IF(AND(J28=1,J29=1),D28-C29)+IF(AND(J28=1,J30=1),E28-C30)+IF(AND(J28=1,J31=1),F28-C31)+IF(AND(J28=1,J32=1),G28-C32)+IF(AND(J28=2,J29=2),D28-C29)+IF(AND(J28=2,J30=2),E28-C30)+IF(AND(J28=2,J31=2),F28-C31)+IF(AND(J28=2,J32=2),G28-C32)+IF(AND(J28=3,J29=3),D28-C29)+IF(AND(J28=3,J30=3),E28-C30)+IF(AND(J28=3,J31=3),F28-C31)+IF(AND(J28=3,J32=3),G28-C32)</f>
        <v>0</v>
      </c>
      <c r="M28" s="515">
        <f>10000*J28+K28*100+L28</f>
        <v>0</v>
      </c>
      <c r="N28" s="668"/>
      <c r="O28" s="536"/>
      <c r="P28" s="498"/>
      <c r="Q28" s="277"/>
      <c r="R28" s="499">
        <f t="shared" si="3"/>
        <v>0</v>
      </c>
      <c r="S28" s="603" t="str">
        <f t="shared" si="4"/>
        <v/>
      </c>
      <c r="T28" s="604" t="str">
        <f>IFERROR(INDEX(Reit!$I:$I,MATCH(S28,Reit!$F:$F,0)),"")</f>
        <v/>
      </c>
      <c r="U28" s="603" t="str">
        <f t="shared" si="5"/>
        <v/>
      </c>
      <c r="V28" s="604" t="str">
        <f>IFERROR(INDEX(Reit!$I:$I,MATCH(U28,Reit!$F:$F,0)),"")</f>
        <v/>
      </c>
      <c r="W28" s="603" t="str">
        <f t="shared" si="6"/>
        <v/>
      </c>
      <c r="X28" s="604" t="str">
        <f>IFERROR(INDEX(Reit!$I:$I,MATCH(W28,Reit!$F:$F,0)),"")</f>
        <v/>
      </c>
      <c r="Y28" s="605" t="str">
        <f t="shared" si="0"/>
        <v/>
      </c>
      <c r="Z28" s="604" t="str">
        <f>IFERROR(INDEX(Reit!$I:$I,MATCH(Y28,Reit!$F:$F,0)),"")</f>
        <v/>
      </c>
      <c r="AA28" s="603" t="str">
        <f t="shared" si="7"/>
        <v/>
      </c>
      <c r="AB28" s="604" t="str">
        <f>IFERROR(INDEX(Reit!$I:$I,MATCH(AA28,Reit!$F:$F,0)),"")</f>
        <v/>
      </c>
    </row>
    <row r="29" spans="1:28" s="506" customFormat="1" hidden="1" x14ac:dyDescent="0.2">
      <c r="A29" s="500">
        <v>2</v>
      </c>
      <c r="B29" s="518"/>
      <c r="C29" s="510"/>
      <c r="D29" s="509"/>
      <c r="E29" s="510"/>
      <c r="F29" s="510"/>
      <c r="G29" s="510"/>
      <c r="H29" s="511" t="str">
        <f>(IF(C29-D28&gt;0,1)+IF(E29-D30&gt;0,1)+IF(F29-D31&gt;0,1)+IF(G29-D32&gt;0,1))&amp;"-"&amp;(IF(C29-D28&lt;0,1)+IF(E29-D30&lt;0,1)+IF(F29-D31&lt;0,1)+IF(G29-D32&lt;0,1))</f>
        <v>0-0</v>
      </c>
      <c r="I29" s="510" t="str">
        <f t="shared" si="14"/>
        <v/>
      </c>
      <c r="J29" s="512">
        <f t="shared" ref="J29:J32" si="15">VALUE(LEFT(H29,1))</f>
        <v>0</v>
      </c>
      <c r="K29" s="519">
        <f>IF(AND(J29=1,J28=1,C29&gt;D28),1)+IF(AND(J29=1,J30=1,E29&gt;D30),1)+IF(AND(J29=1,J31=1,F29&gt;D31),1)+IF(AND(J29=1,J32=1,G29&gt;D32),1)+IF(AND(J29=2,J28=2,C29&gt;D28),1)+IF(AND(J29=2,J30=2,E29&gt;D30),1)+IF(AND(J29=2,J31=2,F29&gt;D31),1)+IF(AND(J29=2,J32=2,G29&gt;D32),1)+IF(AND(J29=3,J28=3,C29&gt;D28),1)+IF(AND(J29=3,J30=3,E29&gt;D30),1)+IF(AND(J29=3,J31=3,F29&gt;D31),1)+IF(AND(J29=3,J32=3,G29&gt;D32),1)</f>
        <v>0</v>
      </c>
      <c r="L29" s="1305">
        <f>IF(AND(J29=1,J28=1),C29-D28)+IF(AND(J29=1,J30=1),E29-D30)+IF(AND(J29=1,J31=1),F29-D31)+IF(AND(J29=1,J32=1),G29-D32)+IF(AND(J29=2,J28=2),C29-D28)+IF(AND(J29=2,J30=2),E29-D30)+IF(AND(J29=2,J31=2),F29-D31)+IF(AND(J29=2,J32=2),G29-D32)+IF(AND(J29=3,J28=3),C29-D28)+IF(AND(J29=3,J30=3),E29-D30)+IF(AND(J29=3,J31=3),F29-D31)+IF(AND(J29=3,J32=3),G29-D32)</f>
        <v>0</v>
      </c>
      <c r="M29" s="515">
        <f t="shared" ref="M29:M32" si="16">10000*J29+K29*100+L29</f>
        <v>0</v>
      </c>
      <c r="N29" s="668"/>
      <c r="O29" s="536"/>
      <c r="P29" s="498"/>
      <c r="Q29" s="277"/>
      <c r="R29" s="499">
        <f t="shared" si="3"/>
        <v>0</v>
      </c>
      <c r="S29" s="603" t="str">
        <f t="shared" si="4"/>
        <v/>
      </c>
      <c r="T29" s="604" t="str">
        <f>IFERROR(INDEX(Reit!$I:$I,MATCH(S29,Reit!$F:$F,0)),"")</f>
        <v/>
      </c>
      <c r="U29" s="603" t="str">
        <f t="shared" si="5"/>
        <v/>
      </c>
      <c r="V29" s="604" t="str">
        <f>IFERROR(INDEX(Reit!$I:$I,MATCH(U29,Reit!$F:$F,0)),"")</f>
        <v/>
      </c>
      <c r="W29" s="603" t="str">
        <f t="shared" si="6"/>
        <v/>
      </c>
      <c r="X29" s="604" t="str">
        <f>IFERROR(INDEX(Reit!$I:$I,MATCH(W29,Reit!$F:$F,0)),"")</f>
        <v/>
      </c>
      <c r="Y29" s="605" t="str">
        <f t="shared" si="0"/>
        <v/>
      </c>
      <c r="Z29" s="604" t="str">
        <f>IFERROR(INDEX(Reit!$I:$I,MATCH(Y29,Reit!$F:$F,0)),"")</f>
        <v/>
      </c>
      <c r="AA29" s="603" t="str">
        <f t="shared" si="7"/>
        <v/>
      </c>
      <c r="AB29" s="604" t="str">
        <f>IFERROR(INDEX(Reit!$I:$I,MATCH(AA29,Reit!$F:$F,0)),"")</f>
        <v/>
      </c>
    </row>
    <row r="30" spans="1:28" s="506" customFormat="1" hidden="1" x14ac:dyDescent="0.2">
      <c r="A30" s="500">
        <v>3</v>
      </c>
      <c r="B30" s="518"/>
      <c r="C30" s="510"/>
      <c r="D30" s="520"/>
      <c r="E30" s="509"/>
      <c r="F30" s="510"/>
      <c r="G30" s="510"/>
      <c r="H30" s="511" t="str">
        <f>(IF(C30-E28&gt;0,1)+IF(D30-E29&gt;0,1)+IF(F30-E31&gt;0,1)+IF(G30-E32&gt;0,1))&amp;"-"&amp;(IF(C30-E28&lt;0,1)+IF(D30-E29&lt;0,1)+IF(F30-E31&lt;0,1)+IF(G30-E32&lt;0,1))</f>
        <v>0-0</v>
      </c>
      <c r="I30" s="510" t="str">
        <f t="shared" si="14"/>
        <v/>
      </c>
      <c r="J30" s="512">
        <f t="shared" si="15"/>
        <v>0</v>
      </c>
      <c r="K30" s="519">
        <f>IF(AND(J30=1,J28=1,C30&gt;E28),1)+IF(AND(J30=1,J29=1,D30&gt;E29),1)+IF(AND(J30=1,J31=1,F30&gt;E31),1)+IF(AND(J30=1,J32=1,G30&gt;E32),1)+IF(AND(J30=2,J28=2,C30&gt;E28),1)+IF(AND(J30=2,J29=2,D30&gt;E29),1)+IF(AND(J30=2,J31=2,F30&gt;E31),1)+IF(AND(J30=2,J32=2,G30&gt;E32),1)+IF(AND(J30=3,J28=3,C30&gt;E28),1)+IF(AND(J30=3,J29=3,D30&gt;E29),1)+IF(AND(J30=3,J31=3,F30&gt;E31),1)+IF(AND(J30=3,J32=3,G30&gt;E32),1)</f>
        <v>0</v>
      </c>
      <c r="L30" s="1305">
        <f>IF(AND(J30=1,J28=1),C30-E28)+IF(AND(J30=1,J29=1),D30-E29)+IF(AND(J30=1,J31=1),F30-E31)+IF(AND(J30=1,J32=1),G30-E32)+IF(AND(J30=2,J28=2),C30-E28)+IF(AND(J30=2,J29=2),D30-E29)+IF(AND(J30=2,J31=2),F30-E31)+IF(AND(J30=2,J32=2),G30-E32)+IF(AND(J30=3,J28=3),C30-E28)+IF(AND(J30=3,J29=3),D30-E29)+IF(AND(J30=3,J31=3),F30-E31)+IF(AND(J30=3,J32=3),G30-E32)</f>
        <v>0</v>
      </c>
      <c r="M30" s="515">
        <f t="shared" si="16"/>
        <v>0</v>
      </c>
      <c r="N30" s="532"/>
      <c r="P30" s="498"/>
      <c r="Q30" s="277"/>
      <c r="R30" s="499">
        <f t="shared" si="3"/>
        <v>0</v>
      </c>
      <c r="S30" s="603" t="str">
        <f t="shared" si="4"/>
        <v/>
      </c>
      <c r="T30" s="604" t="str">
        <f>IFERROR(INDEX(Reit!$I:$I,MATCH(S30,Reit!$F:$F,0)),"")</f>
        <v/>
      </c>
      <c r="U30" s="603" t="str">
        <f t="shared" si="5"/>
        <v/>
      </c>
      <c r="V30" s="604" t="str">
        <f>IFERROR(INDEX(Reit!$I:$I,MATCH(U30,Reit!$F:$F,0)),"")</f>
        <v/>
      </c>
      <c r="W30" s="603" t="str">
        <f t="shared" si="6"/>
        <v/>
      </c>
      <c r="X30" s="604" t="str">
        <f>IFERROR(INDEX(Reit!$I:$I,MATCH(W30,Reit!$F:$F,0)),"")</f>
        <v/>
      </c>
      <c r="Y30" s="605" t="str">
        <f t="shared" si="0"/>
        <v/>
      </c>
      <c r="Z30" s="604" t="str">
        <f>IFERROR(INDEX(Reit!$I:$I,MATCH(Y30,Reit!$F:$F,0)),"")</f>
        <v/>
      </c>
      <c r="AA30" s="603" t="str">
        <f t="shared" si="7"/>
        <v/>
      </c>
      <c r="AB30" s="604" t="str">
        <f>IFERROR(INDEX(Reit!$I:$I,MATCH(AA30,Reit!$F:$F,0)),"")</f>
        <v/>
      </c>
    </row>
    <row r="31" spans="1:28" s="506" customFormat="1" hidden="1" x14ac:dyDescent="0.2">
      <c r="A31" s="500">
        <v>4</v>
      </c>
      <c r="B31" s="521"/>
      <c r="C31" s="510"/>
      <c r="D31" s="520"/>
      <c r="E31" s="510"/>
      <c r="F31" s="509"/>
      <c r="G31" s="522"/>
      <c r="H31" s="511" t="str">
        <f>(IF(C31-F28&gt;0,1)+IF(D31-F29&gt;0,1)+IF(E31-F30&gt;0,1)+IF(G31-F32&gt;0,1))&amp;"-"&amp;(IF(C31-F28&lt;0,1)+IF(D31-F29&lt;0,1)+IF(E31-F30&lt;0,1)+IF(G31-F32&lt;0,1))</f>
        <v>0-0</v>
      </c>
      <c r="I31" s="510" t="str">
        <f t="shared" si="14"/>
        <v/>
      </c>
      <c r="J31" s="512">
        <f t="shared" si="15"/>
        <v>0</v>
      </c>
      <c r="K31" s="519">
        <f>IF(AND(J31=1,J28=1,C31&gt;F28),1)+IF(AND(J31=1,J29=1,D31&gt;F29),1)+IF(AND(J31=1,J30=1,E31&gt;F30),1)+IF(AND(J31=1,J32=1,G31&gt;F32),1)+IF(AND(J31=2,J28=2,C31&gt;F28),1)+IF(AND(J31=2,J29=2,D31&gt;F29),1)+IF(AND(J31=2,J30=2,E31&gt;F30),1)+IF(AND(J31=2,J32=2,G31&gt;F32),1)+IF(AND(J31=3,J28=3,C31&gt;F28),1)+IF(AND(J31=3,J29=3,D31&gt;F29),1)+IF(AND(J31=3,J30=3,E31&gt;F30),1)+IF(AND(J31=3,J32=3,G31&gt;F32),1)</f>
        <v>0</v>
      </c>
      <c r="L31" s="1305">
        <f>IF(AND(J31=1,J28=1),C31-F28)+IF(AND(J31=1,J29=1),D31-F29)+IF(AND(J31=1,J30=1),E31-F30)+IF(AND(J31=1,J32=1),G31-F32)+IF(AND(J31=2,J28=2),C31-F28)+IF(AND(J31=2,J29=2),D31-F29)+IF(AND(J31=2,J30=2),E31-F30)+IF(AND(J31=2,J32=2),G31-F32)+IF(AND(J31=3,J28=3),C31-F28)+IF(AND(J31=3,J29=3),D31-F29)+IF(AND(J31=3,J30=3),E31-F30)+IF(AND(J31=3,J32=3),G31-F32)</f>
        <v>0</v>
      </c>
      <c r="M31" s="515">
        <f t="shared" si="16"/>
        <v>0</v>
      </c>
      <c r="N31" s="668"/>
      <c r="P31" s="498"/>
      <c r="Q31" s="277"/>
      <c r="R31" s="499">
        <f t="shared" si="3"/>
        <v>0</v>
      </c>
      <c r="S31" s="603" t="str">
        <f t="shared" si="4"/>
        <v/>
      </c>
      <c r="T31" s="604" t="str">
        <f>IFERROR(INDEX(Reit!$I:$I,MATCH(S31,Reit!$F:$F,0)),"")</f>
        <v/>
      </c>
      <c r="U31" s="603" t="str">
        <f t="shared" si="5"/>
        <v/>
      </c>
      <c r="V31" s="604" t="str">
        <f>IFERROR(INDEX(Reit!$I:$I,MATCH(U31,Reit!$F:$F,0)),"")</f>
        <v/>
      </c>
      <c r="W31" s="603" t="str">
        <f t="shared" si="6"/>
        <v/>
      </c>
      <c r="X31" s="604" t="str">
        <f>IFERROR(INDEX(Reit!$I:$I,MATCH(W31,Reit!$F:$F,0)),"")</f>
        <v/>
      </c>
      <c r="Y31" s="605" t="str">
        <f t="shared" si="0"/>
        <v/>
      </c>
      <c r="Z31" s="604" t="str">
        <f>IFERROR(INDEX(Reit!$I:$I,MATCH(Y31,Reit!$F:$F,0)),"")</f>
        <v/>
      </c>
      <c r="AA31" s="603" t="str">
        <f t="shared" si="7"/>
        <v/>
      </c>
      <c r="AB31" s="604" t="str">
        <f>IFERROR(INDEX(Reit!$I:$I,MATCH(AA31,Reit!$F:$F,0)),"")</f>
        <v/>
      </c>
    </row>
    <row r="32" spans="1:28" s="506" customFormat="1" hidden="1" x14ac:dyDescent="0.2">
      <c r="A32" s="500">
        <v>5</v>
      </c>
      <c r="B32" s="521"/>
      <c r="C32" s="510"/>
      <c r="D32" s="510"/>
      <c r="E32" s="510"/>
      <c r="F32" s="510"/>
      <c r="G32" s="509"/>
      <c r="H32" s="511" t="str">
        <f>(IF(C32-G28&gt;0,1)+IF(D32-G29&gt;0,1)+IF(E32-G30&gt;0,1)+IF(F32-G31&gt;0,1))&amp;"-"&amp;(IF(C32-G28&lt;0,1)+IF(D32-G29&lt;0,1)+IF(E32-G30&lt;0,1)+IF(F32-G31&lt;0,1))</f>
        <v>0-0</v>
      </c>
      <c r="I32" s="510" t="str">
        <f t="shared" si="14"/>
        <v/>
      </c>
      <c r="J32" s="512">
        <f t="shared" si="15"/>
        <v>0</v>
      </c>
      <c r="K32" s="519">
        <f>IF(AND(J32=1,J28=1,C32&gt;G28),1)+IF(AND(J32=1,J29=1,D32&gt;G29),1)+IF(AND(J32=1,J30=1,E32&gt;G30),1)+IF(AND(J32=1,J31=1,F32&gt;G31),1)+IF(AND(J32=2,J28=2,C32&gt;G28),1)+IF(AND(J32=2,J29=2,D32&gt;G29),1)+IF(AND(J32=2,J30=2,E32&gt;G30),1)+IF(AND(J32=2,J31=2,F32&gt;G31),1)+IF(AND(J32=3,J28=3,C32&gt;G28),1)+IF(AND(J32=3,J29=3,D32&gt;G29),1)+IF(AND(J32=3,J30=3,E32&gt;G30),1)+IF(AND(J32=3,J31=3,F32&gt;G31),1)</f>
        <v>0</v>
      </c>
      <c r="L32" s="1305">
        <f>IF(AND(J32=1,J28=1),C32-G28)+IF(AND(J32=1,J29=1),D32-G29)+IF(AND(J32=1,J30=1),E32-G30)+IF(AND(J32=1,J31=1),F32-G31)+IF(AND(J32=2,J28=2),C32-G28)+IF(AND(J32=2,J29=2),D32-G29)+IF(AND(J32=2,J30=2),E32-G30)+IF(AND(J32=2,J31=2),F32-G31)+IF(AND(J32=3,J28=3),C32-G28)+IF(AND(J32=3,J29=3),D32-G29)+IF(AND(J32=3,J30=3),E32-G30)+IF(AND(J32=3,J31=3),F32-G31)</f>
        <v>0</v>
      </c>
      <c r="M32" s="515">
        <f t="shared" si="16"/>
        <v>0</v>
      </c>
      <c r="N32" s="498"/>
      <c r="P32" s="498"/>
      <c r="Q32" s="277"/>
      <c r="R32" s="499">
        <f t="shared" si="3"/>
        <v>0</v>
      </c>
      <c r="S32" s="603" t="str">
        <f t="shared" si="4"/>
        <v/>
      </c>
      <c r="T32" s="604" t="str">
        <f>IFERROR(INDEX(Reit!$I:$I,MATCH(S32,Reit!$F:$F,0)),"")</f>
        <v/>
      </c>
      <c r="U32" s="603" t="str">
        <f t="shared" si="5"/>
        <v/>
      </c>
      <c r="V32" s="604" t="str">
        <f>IFERROR(INDEX(Reit!$I:$I,MATCH(U32,Reit!$F:$F,0)),"")</f>
        <v/>
      </c>
      <c r="W32" s="603" t="str">
        <f t="shared" si="6"/>
        <v/>
      </c>
      <c r="X32" s="604" t="str">
        <f>IFERROR(INDEX(Reit!$I:$I,MATCH(W32,Reit!$F:$F,0)),"")</f>
        <v/>
      </c>
      <c r="Y32" s="605" t="str">
        <f t="shared" si="0"/>
        <v/>
      </c>
      <c r="Z32" s="604" t="str">
        <f>IFERROR(INDEX(Reit!$I:$I,MATCH(Y32,Reit!$F:$F,0)),"")</f>
        <v/>
      </c>
      <c r="AA32" s="603" t="str">
        <f t="shared" si="7"/>
        <v/>
      </c>
      <c r="AB32" s="604" t="str">
        <f>IFERROR(INDEX(Reit!$I:$I,MATCH(AA32,Reit!$F:$F,0)),"")</f>
        <v/>
      </c>
    </row>
    <row r="33" spans="1:28" s="506" customFormat="1" hidden="1" x14ac:dyDescent="0.2">
      <c r="A33" s="523"/>
      <c r="F33" s="545"/>
      <c r="H33" s="546"/>
      <c r="I33" s="547"/>
      <c r="J33" s="535"/>
      <c r="K33" s="542"/>
      <c r="L33" s="548"/>
      <c r="M33" s="535"/>
      <c r="N33" s="498"/>
      <c r="O33" s="498"/>
      <c r="P33" s="498"/>
      <c r="Q33" s="277"/>
      <c r="R33" s="277"/>
      <c r="S33" s="277"/>
      <c r="T33" s="277"/>
      <c r="U33" s="277"/>
      <c r="V33" s="277"/>
      <c r="W33" s="277"/>
      <c r="X33" s="277"/>
      <c r="Y33" s="277"/>
      <c r="Z33" s="277"/>
      <c r="AA33" s="277"/>
      <c r="AB33" s="277"/>
    </row>
    <row r="34" spans="1:28" s="506" customFormat="1" hidden="1" x14ac:dyDescent="0.2">
      <c r="A34" s="500" t="s">
        <v>144</v>
      </c>
      <c r="B34" s="501"/>
      <c r="C34" s="502">
        <v>1</v>
      </c>
      <c r="D34" s="502">
        <v>2</v>
      </c>
      <c r="E34" s="502">
        <v>3</v>
      </c>
      <c r="F34" s="502">
        <v>4</v>
      </c>
      <c r="G34" s="502">
        <v>5</v>
      </c>
      <c r="H34" s="502" t="s">
        <v>363</v>
      </c>
      <c r="I34" s="501" t="s">
        <v>26</v>
      </c>
      <c r="J34" s="503" t="s">
        <v>156</v>
      </c>
      <c r="K34" s="504" t="s">
        <v>156</v>
      </c>
      <c r="L34" s="505" t="s">
        <v>364</v>
      </c>
      <c r="M34" s="506" t="b">
        <f>OR(AND(COUNTA(B35:B39)=3,COUNTA(C35:G39)=6),AND(COUNTA(B35:B39)=4,COUNTA(C35:G39)=12),AND(COUNTA(B35:B39)=5,COUNTA(C35:G39)=20))</f>
        <v>0</v>
      </c>
      <c r="O34" s="498"/>
      <c r="P34" s="498"/>
      <c r="Q34" s="277"/>
      <c r="R34" s="277"/>
      <c r="S34" s="277"/>
      <c r="T34" s="277"/>
      <c r="U34" s="277"/>
      <c r="V34" s="277"/>
      <c r="W34" s="277"/>
      <c r="X34" s="277"/>
      <c r="Y34" s="277"/>
      <c r="Z34" s="277"/>
      <c r="AA34" s="277"/>
      <c r="AB34" s="277"/>
    </row>
    <row r="35" spans="1:28" s="506" customFormat="1" hidden="1" x14ac:dyDescent="0.2">
      <c r="A35" s="500">
        <v>1</v>
      </c>
      <c r="B35" s="508"/>
      <c r="C35" s="509"/>
      <c r="D35" s="510"/>
      <c r="E35" s="510"/>
      <c r="F35" s="510"/>
      <c r="G35" s="510"/>
      <c r="H35" s="511" t="str">
        <f>(IF(D35-C36&gt;0,1)+IF(E35-C37&gt;0,1)+IF(F35-C38&gt;0,1)+IF(G35-C39&gt;0,1))&amp;"-"&amp;(IF(D35-C36&lt;0,1)+IF(E35-C37&lt;0,1)+IF(F35-C38&lt;0,1)+IF(G35-C39&lt;0,1))</f>
        <v>0-0</v>
      </c>
      <c r="I35" s="510" t="str">
        <f>IF(AND(B35&lt;&gt;"",M$34=TRUE),A$34&amp;RANK(M35,M$35:M$39,0),"")</f>
        <v/>
      </c>
      <c r="J35" s="512">
        <f>VALUE(LEFT(H35,1))</f>
        <v>0</v>
      </c>
      <c r="K35" s="513">
        <f>IF(AND(J35=1,J36=1,D35&gt;C36),1)+IF(AND(J35=1,J37=1,E35&gt;C37),1)+IF(AND(J35=1,J38=1,F35&gt;C38),1)+IF(AND(J35=1,J39=1,G35&gt;C39),1)+IF(AND(J35=2,J36=2,D35&gt;C36),1)+IF(AND(J35=2,J37=2,E35&gt;C37),1)+IF(AND(J35=2,J38=2,F35&gt;C38),1)+IF(AND(J35=2,J39=2,G35&gt;C39),1)+IF(AND(J35=3,J36=3,D35&gt;C36),1)+IF(AND(J35=3,J37=3,E35&gt;C37),1)+IF(AND(J35=3,J38=3,F35&gt;C38),1)+IF(AND(J35=3,J39=3,G35&gt;C39),1)</f>
        <v>0</v>
      </c>
      <c r="L35" s="1305">
        <f>IF(AND(J35=1,J36=1),D35-C36)+IF(AND(J35=1,J37=1),E35-C37)+IF(AND(J35=1,J38=1),F35-C38)+IF(AND(J35=1,J39=1),G35-C39)+IF(AND(J35=2,J36=2),D35-C36)+IF(AND(J35=2,J37=2),E35-C37)+IF(AND(J35=2,J38=2),F35-C38)+IF(AND(J35=2,J39=2),G35-C39)+IF(AND(J35=3,J36=3),D35-C36)+IF(AND(J35=3,J37=3),E35-C37)+IF(AND(J35=3,J38=3),F35-C38)+IF(AND(J35=3,J39=3),G35-C39)</f>
        <v>0</v>
      </c>
      <c r="M35" s="515">
        <f>10000*J35+K35*100+L35</f>
        <v>0</v>
      </c>
      <c r="N35" s="516"/>
      <c r="P35" s="498"/>
      <c r="Q35" s="517"/>
      <c r="R35" s="499">
        <f t="shared" si="3"/>
        <v>0</v>
      </c>
      <c r="S35" s="603" t="str">
        <f t="shared" si="4"/>
        <v/>
      </c>
      <c r="T35" s="604" t="str">
        <f>IFERROR(INDEX(Reit!$I:$I,MATCH(S35,Reit!$F:$F,0)),"")</f>
        <v/>
      </c>
      <c r="U35" s="603" t="str">
        <f t="shared" si="5"/>
        <v/>
      </c>
      <c r="V35" s="604" t="str">
        <f>IFERROR(INDEX(Reit!$I:$I,MATCH(U35,Reit!$F:$F,0)),"")</f>
        <v/>
      </c>
      <c r="W35" s="603" t="str">
        <f t="shared" si="6"/>
        <v/>
      </c>
      <c r="X35" s="604" t="str">
        <f>IFERROR(INDEX(Reit!$I:$I,MATCH(W35,Reit!$F:$F,0)),"")</f>
        <v/>
      </c>
      <c r="Y35" s="605" t="str">
        <f t="shared" si="0"/>
        <v/>
      </c>
      <c r="Z35" s="604" t="str">
        <f>IFERROR(INDEX(Reit!$I:$I,MATCH(Y35,Reit!$F:$F,0)),"")</f>
        <v/>
      </c>
      <c r="AA35" s="603" t="str">
        <f t="shared" si="7"/>
        <v/>
      </c>
      <c r="AB35" s="604" t="str">
        <f>IFERROR(INDEX(Reit!$I:$I,MATCH(AA35,Reit!$F:$F,0)),"")</f>
        <v/>
      </c>
    </row>
    <row r="36" spans="1:28" s="506" customFormat="1" hidden="1" x14ac:dyDescent="0.2">
      <c r="A36" s="500">
        <v>2</v>
      </c>
      <c r="B36" s="518"/>
      <c r="C36" s="510"/>
      <c r="D36" s="509"/>
      <c r="E36" s="510"/>
      <c r="F36" s="510"/>
      <c r="G36" s="510"/>
      <c r="H36" s="511" t="str">
        <f>(IF(C36-D35&gt;0,1)+IF(E36-D37&gt;0,1)+IF(F36-D38&gt;0,1)+IF(G36-D39&gt;0,1))&amp;"-"&amp;(IF(C36-D35&lt;0,1)+IF(E36-D37&lt;0,1)+IF(F36-D38&lt;0,1)+IF(G36-D39&lt;0,1))</f>
        <v>0-0</v>
      </c>
      <c r="I36" s="510" t="str">
        <f>IF(AND(B36&lt;&gt;"",M$34=TRUE),A$34&amp;RANK(M36,M$35:M$39,0),"")</f>
        <v/>
      </c>
      <c r="J36" s="512">
        <f t="shared" ref="J36:J39" si="17">VALUE(LEFT(H36,1))</f>
        <v>0</v>
      </c>
      <c r="K36" s="519">
        <f>IF(AND(J36=1,J35=1,C36&gt;D35),1)+IF(AND(J36=1,J37=1,E36&gt;D37),1)+IF(AND(J36=1,J38=1,F36&gt;D38),1)+IF(AND(J36=1,J39=1,G36&gt;D39),1)+IF(AND(J36=2,J35=2,C36&gt;D35),1)+IF(AND(J36=2,J37=2,E36&gt;D37),1)+IF(AND(J36=2,J38=2,F36&gt;D38),1)+IF(AND(J36=2,J39=2,G36&gt;D39),1)+IF(AND(J36=3,J35=3,C36&gt;D35),1)+IF(AND(J36=3,J37=3,E36&gt;D37),1)+IF(AND(J36=3,J38=3,F36&gt;D38),1)+IF(AND(J36=3,J39=3,G36&gt;D39),1)</f>
        <v>0</v>
      </c>
      <c r="L36" s="1305">
        <f>IF(AND(J36=1,J35=1),C36-D35)+IF(AND(J36=1,J37=1),E36-D37)+IF(AND(J36=1,J38=1),F36-D38)+IF(AND(J36=1,J39=1),G36-D39)+IF(AND(J36=2,J35=2),C36-D35)+IF(AND(J36=2,J37=2),E36-D37)+IF(AND(J36=2,J38=2),F36-D38)+IF(AND(J36=2,J39=2),G36-D39)+IF(AND(J36=3,J35=3),C36-D35)+IF(AND(J36=3,J37=3),E36-D37)+IF(AND(J36=3,J38=3),F36-D38)+IF(AND(J36=3,J39=3),G36-D39)</f>
        <v>0</v>
      </c>
      <c r="M36" s="515">
        <f t="shared" ref="M36:M39" si="18">10000*J36+K36*100+L36</f>
        <v>0</v>
      </c>
      <c r="P36" s="498"/>
      <c r="Q36" s="517"/>
      <c r="R36" s="499">
        <f t="shared" si="3"/>
        <v>0</v>
      </c>
      <c r="S36" s="603" t="str">
        <f t="shared" si="4"/>
        <v/>
      </c>
      <c r="T36" s="604" t="str">
        <f>IFERROR(INDEX(Reit!$I:$I,MATCH(S36,Reit!$F:$F,0)),"")</f>
        <v/>
      </c>
      <c r="U36" s="603" t="str">
        <f t="shared" si="5"/>
        <v/>
      </c>
      <c r="V36" s="604" t="str">
        <f>IFERROR(INDEX(Reit!$I:$I,MATCH(U36,Reit!$F:$F,0)),"")</f>
        <v/>
      </c>
      <c r="W36" s="603" t="str">
        <f t="shared" si="6"/>
        <v/>
      </c>
      <c r="X36" s="604" t="str">
        <f>IFERROR(INDEX(Reit!$I:$I,MATCH(W36,Reit!$F:$F,0)),"")</f>
        <v/>
      </c>
      <c r="Y36" s="605" t="str">
        <f t="shared" si="0"/>
        <v/>
      </c>
      <c r="Z36" s="604" t="str">
        <f>IFERROR(INDEX(Reit!$I:$I,MATCH(Y36,Reit!$F:$F,0)),"")</f>
        <v/>
      </c>
      <c r="AA36" s="603" t="str">
        <f t="shared" si="7"/>
        <v/>
      </c>
      <c r="AB36" s="604" t="str">
        <f>IFERROR(INDEX(Reit!$I:$I,MATCH(AA36,Reit!$F:$F,0)),"")</f>
        <v/>
      </c>
    </row>
    <row r="37" spans="1:28" s="506" customFormat="1" hidden="1" x14ac:dyDescent="0.2">
      <c r="A37" s="500">
        <v>3</v>
      </c>
      <c r="B37" s="518"/>
      <c r="C37" s="510"/>
      <c r="D37" s="520"/>
      <c r="E37" s="509"/>
      <c r="F37" s="510"/>
      <c r="G37" s="510"/>
      <c r="H37" s="511" t="str">
        <f>(IF(C37-E35&gt;0,1)+IF(D37-E36&gt;0,1)+IF(F37-E38&gt;0,1)+IF(G37-E39&gt;0,1))&amp;"-"&amp;(IF(C37-E35&lt;0,1)+IF(D37-E36&lt;0,1)+IF(F37-E38&lt;0,1)+IF(G37-E39&lt;0,1))</f>
        <v>0-0</v>
      </c>
      <c r="I37" s="510" t="str">
        <f>IF(AND(B37&lt;&gt;"",M$34=TRUE),A$34&amp;RANK(M37,M$35:M$39,0),"")</f>
        <v/>
      </c>
      <c r="J37" s="512">
        <f t="shared" si="17"/>
        <v>0</v>
      </c>
      <c r="K37" s="519">
        <f>IF(AND(J37=1,J35=1,C37&gt;E35),1)+IF(AND(J37=1,J36=1,D37&gt;E36),1)+IF(AND(J37=1,J38=1,F37&gt;E38),1)+IF(AND(J37=1,J39=1,G37&gt;E39),1)+IF(AND(J37=2,J35=2,C37&gt;E35),1)+IF(AND(J37=2,J36=2,D37&gt;E36),1)+IF(AND(J37=2,J38=2,F37&gt;E38),1)+IF(AND(J37=2,J39=2,G37&gt;E39),1)+IF(AND(J37=3,J35=3,C37&gt;E35),1)+IF(AND(J37=3,J36=3,D37&gt;E36),1)+IF(AND(J37=3,J38=3,F37&gt;E38),1)+IF(AND(J37=3,J39=3,G37&gt;E39),1)</f>
        <v>0</v>
      </c>
      <c r="L37" s="1305">
        <f>IF(AND(J37=1,J35=1),C37-E35)+IF(AND(J37=1,J36=1),D37-E36)+IF(AND(J37=1,J38=1),F37-E38)+IF(AND(J37=1,J39=1),G37-E39)+IF(AND(J37=2,J35=2),C37-E35)+IF(AND(J37=2,J36=2),D37-E36)+IF(AND(J37=2,J38=2),F37-E38)+IF(AND(J37=2,J39=2),G37-E39)+IF(AND(J37=3,J35=3),C37-E35)+IF(AND(J37=3,J36=3),D37-E36)+IF(AND(J37=3,J38=3),F37-E38)+IF(AND(J37=3,J39=3),G37-E39)</f>
        <v>0</v>
      </c>
      <c r="M37" s="515">
        <f t="shared" si="18"/>
        <v>0</v>
      </c>
      <c r="P37" s="498"/>
      <c r="Q37" s="517"/>
      <c r="R37" s="499">
        <f t="shared" si="3"/>
        <v>0</v>
      </c>
      <c r="S37" s="603" t="str">
        <f t="shared" si="4"/>
        <v/>
      </c>
      <c r="T37" s="604" t="str">
        <f>IFERROR(INDEX(Reit!$I:$I,MATCH(S37,Reit!$F:$F,0)),"")</f>
        <v/>
      </c>
      <c r="U37" s="603" t="str">
        <f t="shared" si="5"/>
        <v/>
      </c>
      <c r="V37" s="604" t="str">
        <f>IFERROR(INDEX(Reit!$I:$I,MATCH(U37,Reit!$F:$F,0)),"")</f>
        <v/>
      </c>
      <c r="W37" s="603" t="str">
        <f t="shared" si="6"/>
        <v/>
      </c>
      <c r="X37" s="604" t="str">
        <f>IFERROR(INDEX(Reit!$I:$I,MATCH(W37,Reit!$F:$F,0)),"")</f>
        <v/>
      </c>
      <c r="Y37" s="605" t="str">
        <f t="shared" si="0"/>
        <v/>
      </c>
      <c r="Z37" s="604" t="str">
        <f>IFERROR(INDEX(Reit!$I:$I,MATCH(Y37,Reit!$F:$F,0)),"")</f>
        <v/>
      </c>
      <c r="AA37" s="603" t="str">
        <f t="shared" si="7"/>
        <v/>
      </c>
      <c r="AB37" s="604" t="str">
        <f>IFERROR(INDEX(Reit!$I:$I,MATCH(AA37,Reit!$F:$F,0)),"")</f>
        <v/>
      </c>
    </row>
    <row r="38" spans="1:28" s="506" customFormat="1" hidden="1" x14ac:dyDescent="0.2">
      <c r="A38" s="500">
        <v>4</v>
      </c>
      <c r="B38" s="521"/>
      <c r="C38" s="510"/>
      <c r="D38" s="520"/>
      <c r="E38" s="510"/>
      <c r="F38" s="509"/>
      <c r="G38" s="522"/>
      <c r="H38" s="511" t="str">
        <f>(IF(C38-F35&gt;0,1)+IF(D38-F36&gt;0,1)+IF(E38-F37&gt;0,1)+IF(G38-F39&gt;0,1))&amp;"-"&amp;(IF(C38-F35&lt;0,1)+IF(D38-F36&lt;0,1)+IF(E38-F37&lt;0,1)+IF(G38-F39&lt;0,1))</f>
        <v>0-0</v>
      </c>
      <c r="I38" s="510" t="str">
        <f>IF(AND(B38&lt;&gt;"",M$34=TRUE),A$34&amp;RANK(M38,M$35:M$39,0),"")</f>
        <v/>
      </c>
      <c r="J38" s="512">
        <f t="shared" si="17"/>
        <v>0</v>
      </c>
      <c r="K38" s="519">
        <f>IF(AND(J38=1,J35=1,C38&gt;F35),1)+IF(AND(J38=1,J36=1,D38&gt;F36),1)+IF(AND(J38=1,J37=1,E38&gt;F37),1)+IF(AND(J38=1,J39=1,G38&gt;F39),1)+IF(AND(J38=2,J35=2,C38&gt;F35),1)+IF(AND(J38=2,J36=2,D38&gt;F36),1)+IF(AND(J38=2,J37=2,E38&gt;F37),1)+IF(AND(J38=2,J39=2,G38&gt;F39),1)+IF(AND(J38=3,J35=3,C38&gt;F35),1)+IF(AND(J38=3,J36=3,D38&gt;F36),1)+IF(AND(J38=3,J37=3,E38&gt;F37),1)+IF(AND(J38=3,J39=3,G38&gt;F39),1)</f>
        <v>0</v>
      </c>
      <c r="L38" s="1305">
        <f>IF(AND(J38=1,J35=1),C38-F35)+IF(AND(J38=1,J36=1),D38-F36)+IF(AND(J38=1,J37=1),E38-F37)+IF(AND(J38=1,J39=1),G38-F39)+IF(AND(J38=2,J35=2),C38-F35)+IF(AND(J38=2,J36=2),D38-F36)+IF(AND(J38=2,J37=2),E38-F37)+IF(AND(J38=2,J39=2),G38-F39)+IF(AND(J38=3,J35=3),C38-F35)+IF(AND(J38=3,J36=3),D38-F36)+IF(AND(J38=3,J37=3),E38-F37)+IF(AND(J38=3,J39=3),G38-F39)</f>
        <v>0</v>
      </c>
      <c r="M38" s="515">
        <f t="shared" si="18"/>
        <v>0</v>
      </c>
      <c r="N38" s="668"/>
      <c r="P38" s="498"/>
      <c r="Q38" s="517"/>
      <c r="R38" s="499">
        <f t="shared" si="3"/>
        <v>0</v>
      </c>
      <c r="S38" s="603" t="str">
        <f t="shared" si="4"/>
        <v/>
      </c>
      <c r="T38" s="604" t="str">
        <f>IFERROR(INDEX(Reit!$I:$I,MATCH(S38,Reit!$F:$F,0)),"")</f>
        <v/>
      </c>
      <c r="U38" s="603" t="str">
        <f t="shared" si="5"/>
        <v/>
      </c>
      <c r="V38" s="604" t="str">
        <f>IFERROR(INDEX(Reit!$I:$I,MATCH(U38,Reit!$F:$F,0)),"")</f>
        <v/>
      </c>
      <c r="W38" s="603" t="str">
        <f t="shared" si="6"/>
        <v/>
      </c>
      <c r="X38" s="604" t="str">
        <f>IFERROR(INDEX(Reit!$I:$I,MATCH(W38,Reit!$F:$F,0)),"")</f>
        <v/>
      </c>
      <c r="Y38" s="605" t="str">
        <f t="shared" si="0"/>
        <v/>
      </c>
      <c r="Z38" s="604" t="str">
        <f>IFERROR(INDEX(Reit!$I:$I,MATCH(Y38,Reit!$F:$F,0)),"")</f>
        <v/>
      </c>
      <c r="AA38" s="603" t="str">
        <f t="shared" si="7"/>
        <v/>
      </c>
      <c r="AB38" s="604" t="str">
        <f>IFERROR(INDEX(Reit!$I:$I,MATCH(AA38,Reit!$F:$F,0)),"")</f>
        <v/>
      </c>
    </row>
    <row r="39" spans="1:28" s="506" customFormat="1" hidden="1" x14ac:dyDescent="0.2">
      <c r="A39" s="500">
        <v>5</v>
      </c>
      <c r="B39" s="521"/>
      <c r="C39" s="510"/>
      <c r="D39" s="510"/>
      <c r="E39" s="510"/>
      <c r="F39" s="510"/>
      <c r="G39" s="509"/>
      <c r="H39" s="511" t="str">
        <f>(IF(C39-G35&gt;0,1)+IF(D39-G36&gt;0,1)+IF(E39-G37&gt;0,1)+IF(F39-G38&gt;0,1))&amp;"-"&amp;(IF(C39-G35&lt;0,1)+IF(D39-G36&lt;0,1)+IF(E39-G37&lt;0,1)+IF(F39-G38&lt;0,1))</f>
        <v>0-0</v>
      </c>
      <c r="I39" s="510" t="str">
        <f>IF(AND(B39&lt;&gt;"",M$34=TRUE),A$34&amp;RANK(M39,M$35:M$39,0),"")</f>
        <v/>
      </c>
      <c r="J39" s="512">
        <f t="shared" si="17"/>
        <v>0</v>
      </c>
      <c r="K39" s="519">
        <f>IF(AND(J39=1,J35=1,C39&gt;G35),1)+IF(AND(J39=1,J36=1,D39&gt;G36),1)+IF(AND(J39=1,J37=1,E39&gt;G37),1)+IF(AND(J39=1,J38=1,F39&gt;G38),1)+IF(AND(J39=2,J35=2,C39&gt;G35),1)+IF(AND(J39=2,J36=2,D39&gt;G36),1)+IF(AND(J39=2,J37=2,E39&gt;G37),1)+IF(AND(J39=2,J38=2,F39&gt;G38),1)+IF(AND(J39=3,J35=3,C39&gt;G35),1)+IF(AND(J39=3,J36=3,D39&gt;G36),1)+IF(AND(J39=3,J37=3,E39&gt;G37),1)+IF(AND(J39=3,J38=3,F39&gt;G38),1)</f>
        <v>0</v>
      </c>
      <c r="L39" s="1305">
        <f>IF(AND(J39=1,J35=1),C39-G35)+IF(AND(J39=1,J36=1),D39-G36)+IF(AND(J39=1,J37=1),E39-G37)+IF(AND(J39=1,J38=1),F39-G38)+IF(AND(J39=2,J35=2),C39-G35)+IF(AND(J39=2,J36=2),D39-G36)+IF(AND(J39=2,J37=2),E39-G37)+IF(AND(J39=2,J38=2),F39-G38)+IF(AND(J39=3,J35=3),C39-G35)+IF(AND(J39=3,J36=3),D39-G36)+IF(AND(J39=3,J37=3),E39-G37)+IF(AND(J39=3,J38=3),F39-G38)</f>
        <v>0</v>
      </c>
      <c r="M39" s="515">
        <f t="shared" si="18"/>
        <v>0</v>
      </c>
      <c r="P39" s="498"/>
      <c r="Q39" s="517"/>
      <c r="R39" s="499">
        <f t="shared" si="3"/>
        <v>0</v>
      </c>
      <c r="S39" s="603" t="str">
        <f t="shared" si="4"/>
        <v/>
      </c>
      <c r="T39" s="604" t="str">
        <f>IFERROR(INDEX(Reit!$I:$I,MATCH(S39,Reit!$F:$F,0)),"")</f>
        <v/>
      </c>
      <c r="U39" s="603" t="str">
        <f t="shared" si="5"/>
        <v/>
      </c>
      <c r="V39" s="604" t="str">
        <f>IFERROR(INDEX(Reit!$I:$I,MATCH(U39,Reit!$F:$F,0)),"")</f>
        <v/>
      </c>
      <c r="W39" s="603" t="str">
        <f t="shared" si="6"/>
        <v/>
      </c>
      <c r="X39" s="604" t="str">
        <f>IFERROR(INDEX(Reit!$I:$I,MATCH(W39,Reit!$F:$F,0)),"")</f>
        <v/>
      </c>
      <c r="Y39" s="605" t="str">
        <f t="shared" si="0"/>
        <v/>
      </c>
      <c r="Z39" s="604" t="str">
        <f>IFERROR(INDEX(Reit!$I:$I,MATCH(Y39,Reit!$F:$F,0)),"")</f>
        <v/>
      </c>
      <c r="AA39" s="603" t="str">
        <f t="shared" si="7"/>
        <v/>
      </c>
      <c r="AB39" s="604" t="str">
        <f>IFERROR(INDEX(Reit!$I:$I,MATCH(AA39,Reit!$F:$F,0)),"")</f>
        <v/>
      </c>
    </row>
    <row r="40" spans="1:28" s="506" customFormat="1" hidden="1" x14ac:dyDescent="0.2">
      <c r="A40" s="523"/>
      <c r="B40" s="524"/>
      <c r="C40" s="525"/>
      <c r="D40" s="526"/>
      <c r="E40" s="525"/>
      <c r="F40" s="527"/>
      <c r="H40" s="528"/>
      <c r="I40" s="529"/>
      <c r="J40" s="496"/>
      <c r="K40" s="530"/>
      <c r="L40" s="531"/>
      <c r="M40" s="496"/>
      <c r="N40" s="532"/>
      <c r="P40" s="498"/>
      <c r="Q40" s="277"/>
      <c r="R40" s="277"/>
      <c r="S40" s="277"/>
      <c r="T40" s="277"/>
      <c r="U40" s="277"/>
      <c r="V40" s="277"/>
      <c r="W40" s="277"/>
      <c r="X40" s="277"/>
      <c r="Y40" s="277"/>
      <c r="Z40" s="277"/>
      <c r="AA40" s="277"/>
      <c r="AB40" s="277"/>
    </row>
    <row r="41" spans="1:28" s="498" customFormat="1" hidden="1" x14ac:dyDescent="0.2">
      <c r="A41" s="500" t="s">
        <v>145</v>
      </c>
      <c r="B41" s="501"/>
      <c r="C41" s="502">
        <v>1</v>
      </c>
      <c r="D41" s="502">
        <v>2</v>
      </c>
      <c r="E41" s="502">
        <v>3</v>
      </c>
      <c r="F41" s="502">
        <v>4</v>
      </c>
      <c r="G41" s="502">
        <v>5</v>
      </c>
      <c r="H41" s="501" t="s">
        <v>363</v>
      </c>
      <c r="I41" s="501" t="s">
        <v>26</v>
      </c>
      <c r="J41" s="533" t="s">
        <v>156</v>
      </c>
      <c r="K41" s="504" t="s">
        <v>156</v>
      </c>
      <c r="L41" s="534" t="s">
        <v>364</v>
      </c>
      <c r="M41" s="535" t="b">
        <f>OR(AND(COUNTA(B42:B46)=3,COUNTA(C42:G46)=6),AND(COUNTA(B42:B46)=4,COUNTA(C42:G46)=12),AND(COUNTA(B42:B46)=5,COUNTA(C42:G46)=20))</f>
        <v>0</v>
      </c>
      <c r="N41" s="536"/>
      <c r="Q41" s="277"/>
      <c r="R41" s="277"/>
      <c r="S41" s="277"/>
      <c r="T41" s="277"/>
      <c r="U41" s="277"/>
      <c r="V41" s="277"/>
      <c r="W41" s="277"/>
      <c r="X41" s="277"/>
      <c r="Y41" s="277"/>
      <c r="Z41" s="277"/>
      <c r="AA41" s="277"/>
      <c r="AB41" s="277"/>
    </row>
    <row r="42" spans="1:28" s="498" customFormat="1" hidden="1" x14ac:dyDescent="0.2">
      <c r="A42" s="500">
        <v>1</v>
      </c>
      <c r="B42" s="508"/>
      <c r="C42" s="509"/>
      <c r="D42" s="510"/>
      <c r="E42" s="510"/>
      <c r="F42" s="510"/>
      <c r="G42" s="510"/>
      <c r="H42" s="511" t="str">
        <f>(IF(D42-C43&gt;0,1)+IF(E42-C44&gt;0,1)+IF(F42-C45&gt;0,1)+IF(G42-C46&gt;0,1))&amp;"-"&amp;(IF(D42-C43&lt;0,1)+IF(E42-C44&lt;0,1)+IF(F42-C45&lt;0,1)+IF(G42-C46&lt;0,1))</f>
        <v>0-0</v>
      </c>
      <c r="I42" s="510" t="str">
        <f>IF(AND(B42&lt;&gt;"",M$41=TRUE),A$41&amp;RANK(M42,M$42:VM$46,0),"")</f>
        <v/>
      </c>
      <c r="J42" s="512">
        <f>VALUE(LEFT(H42,1))</f>
        <v>0</v>
      </c>
      <c r="K42" s="513">
        <f>IF(AND(J42=1,J43=1,D42&gt;C43),1)+IF(AND(J42=1,J44=1,E42&gt;C44),1)+IF(AND(J42=1,J45=1,F42&gt;C45),1)+IF(AND(J42=1,J46=1,G42&gt;C46),1)+IF(AND(J42=2,J43=2,D42&gt;C43),1)+IF(AND(J42=2,J44=2,E42&gt;C44),1)+IF(AND(J42=2,J45=2,F42&gt;C45),1)+IF(AND(J42=2,J46=2,G42&gt;C46),1)+IF(AND(J42=3,J43=3,D42&gt;C43),1)+IF(AND(J42=3,J44=3,E42&gt;C44),1)+IF(AND(J42=3,J45=3,F42&gt;C45),1)+IF(AND(J42=3,J46=3,G42&gt;C46),1)</f>
        <v>0</v>
      </c>
      <c r="L42" s="1305"/>
      <c r="M42" s="515">
        <f>10000*J42+K42*100+L42</f>
        <v>0</v>
      </c>
      <c r="N42" s="668"/>
      <c r="Q42" s="277"/>
      <c r="R42" s="499">
        <f t="shared" si="3"/>
        <v>0</v>
      </c>
      <c r="S42" s="603" t="str">
        <f t="shared" si="4"/>
        <v/>
      </c>
      <c r="T42" s="604" t="str">
        <f>IFERROR(INDEX(Reit!$I:$I,MATCH(S42,Reit!$F:$F,0)),"")</f>
        <v/>
      </c>
      <c r="U42" s="603" t="str">
        <f t="shared" si="5"/>
        <v/>
      </c>
      <c r="V42" s="604" t="str">
        <f>IFERROR(INDEX(Reit!$I:$I,MATCH(U42,Reit!$F:$F,0)),"")</f>
        <v/>
      </c>
      <c r="W42" s="603" t="str">
        <f t="shared" si="6"/>
        <v/>
      </c>
      <c r="X42" s="604" t="str">
        <f>IFERROR(INDEX(Reit!$I:$I,MATCH(W42,Reit!$F:$F,0)),"")</f>
        <v/>
      </c>
      <c r="Y42" s="605" t="str">
        <f t="shared" si="0"/>
        <v/>
      </c>
      <c r="Z42" s="604" t="str">
        <f>IFERROR(INDEX(Reit!$I:$I,MATCH(Y42,Reit!$F:$F,0)),"")</f>
        <v/>
      </c>
      <c r="AA42" s="603" t="str">
        <f t="shared" si="7"/>
        <v/>
      </c>
      <c r="AB42" s="604" t="str">
        <f>IFERROR(INDEX(Reit!$I:$I,MATCH(AA42,Reit!$F:$F,0)),"")</f>
        <v/>
      </c>
    </row>
    <row r="43" spans="1:28" s="498" customFormat="1" hidden="1" x14ac:dyDescent="0.2">
      <c r="A43" s="500">
        <v>2</v>
      </c>
      <c r="B43" s="518"/>
      <c r="C43" s="510"/>
      <c r="D43" s="509"/>
      <c r="E43" s="510"/>
      <c r="F43" s="510"/>
      <c r="G43" s="510"/>
      <c r="H43" s="511" t="str">
        <f>(IF(C43-D42&gt;0,1)+IF(E43-D44&gt;0,1)+IF(F43-D45&gt;0,1)+IF(G43-D46&gt;0,1))&amp;"-"&amp;(IF(C43-D42&lt;0,1)+IF(E43-D44&lt;0,1)+IF(F43-D45&lt;0,1)+IF(G43-D46&lt;0,1))</f>
        <v>0-0</v>
      </c>
      <c r="I43" s="510" t="str">
        <f>IF(AND(B43&lt;&gt;"",M$41=TRUE),A$41&amp;RANK(M43,M$42:VM$46,0),"")</f>
        <v/>
      </c>
      <c r="J43" s="512">
        <f t="shared" ref="J43:J46" si="19">VALUE(LEFT(H43,1))</f>
        <v>0</v>
      </c>
      <c r="K43" s="519">
        <f>IF(AND(J43=1,J42=1,C43&gt;D42),1)+IF(AND(J43=1,J44=1,E43&gt;D44),1)+IF(AND(J43=1,J45=1,F43&gt;D45),1)+IF(AND(J43=1,J46=1,G43&gt;D46),1)+IF(AND(J43=2,J42=2,C43&gt;D42),1)+IF(AND(J43=2,J44=2,E43&gt;D44),1)+IF(AND(J43=2,J45=2,F43&gt;D45),1)+IF(AND(J43=2,J46=2,G43&gt;D46),1)+IF(AND(J43=3,J42=3,C43&gt;D42),1)+IF(AND(J43=3,J44=3,E43&gt;D44),1)+IF(AND(J43=3,J45=3,F43&gt;D45),1)+IF(AND(J43=3,J46=3,G43&gt;D46),1)</f>
        <v>0</v>
      </c>
      <c r="L43" s="1305">
        <f>IF(AND(J43=1,J42=1),C43-D42)+IF(AND(J43=1,J44=1),E43-D44)+IF(AND(J43=1,J45=1),F43-D45)+IF(AND(J43=1,J46=1),G43-D46)+IF(AND(J43=2,J42=2),C43-D42)+IF(AND(J43=2,J44=2),E43-D44)+IF(AND(J43=2,J45=2),F43-D45)+IF(AND(J43=2,J46=2),G43-D46)+IF(AND(J43=3,J42=3),C43-D42)+IF(AND(J43=3,J44=3),E43-D44)+IF(AND(J43=3,J45=3),F43-D45)+IF(AND(J43=3,J46=3),G43-D46)</f>
        <v>0</v>
      </c>
      <c r="M43" s="515">
        <f t="shared" ref="M43:M46" si="20">10000*J43+K43*100+L43</f>
        <v>0</v>
      </c>
      <c r="N43" s="668"/>
      <c r="Q43" s="277"/>
      <c r="R43" s="499">
        <f t="shared" si="3"/>
        <v>0</v>
      </c>
      <c r="S43" s="603" t="str">
        <f t="shared" si="4"/>
        <v/>
      </c>
      <c r="T43" s="604" t="str">
        <f>IFERROR(INDEX(Reit!$I:$I,MATCH(S43,Reit!$F:$F,0)),"")</f>
        <v/>
      </c>
      <c r="U43" s="603" t="str">
        <f t="shared" si="5"/>
        <v/>
      </c>
      <c r="V43" s="604" t="str">
        <f>IFERROR(INDEX(Reit!$I:$I,MATCH(U43,Reit!$F:$F,0)),"")</f>
        <v/>
      </c>
      <c r="W43" s="603" t="str">
        <f t="shared" si="6"/>
        <v/>
      </c>
      <c r="X43" s="604" t="str">
        <f>IFERROR(INDEX(Reit!$I:$I,MATCH(W43,Reit!$F:$F,0)),"")</f>
        <v/>
      </c>
      <c r="Y43" s="605" t="str">
        <f t="shared" si="0"/>
        <v/>
      </c>
      <c r="Z43" s="604" t="str">
        <f>IFERROR(INDEX(Reit!$I:$I,MATCH(Y43,Reit!$F:$F,0)),"")</f>
        <v/>
      </c>
      <c r="AA43" s="603" t="str">
        <f t="shared" si="7"/>
        <v/>
      </c>
      <c r="AB43" s="604" t="str">
        <f>IFERROR(INDEX(Reit!$I:$I,MATCH(AA43,Reit!$F:$F,0)),"")</f>
        <v/>
      </c>
    </row>
    <row r="44" spans="1:28" s="498" customFormat="1" hidden="1" x14ac:dyDescent="0.2">
      <c r="A44" s="500">
        <v>3</v>
      </c>
      <c r="B44" s="518"/>
      <c r="C44" s="510"/>
      <c r="D44" s="520"/>
      <c r="E44" s="509"/>
      <c r="F44" s="510"/>
      <c r="G44" s="510"/>
      <c r="H44" s="511" t="str">
        <f>(IF(C44-E42&gt;0,1)+IF(D44-E43&gt;0,1)+IF(F44-E45&gt;0,1)+IF(G44-E46&gt;0,1))&amp;"-"&amp;(IF(C44-E42&lt;0,1)+IF(D44-E43&lt;0,1)+IF(F44-E45&lt;0,1)+IF(G44-E46&lt;0,1))</f>
        <v>0-0</v>
      </c>
      <c r="I44" s="510" t="str">
        <f>IF(AND(B44&lt;&gt;"",M$41=TRUE),A$41&amp;RANK(M44,M$42:VM$46,0),"")</f>
        <v/>
      </c>
      <c r="J44" s="512">
        <f t="shared" si="19"/>
        <v>0</v>
      </c>
      <c r="K44" s="519">
        <f>IF(AND(J44=1,J42=1,C44&gt;E42),1)+IF(AND(J44=1,J43=1,D44&gt;E43),1)+IF(AND(J44=1,J45=1,F44&gt;E45),1)+IF(AND(J44=1,J46=1,G44&gt;E46),1)+IF(AND(J44=2,J42=2,C44&gt;E42),1)+IF(AND(J44=2,J43=2,D44&gt;E43),1)+IF(AND(J44=2,J45=2,F44&gt;E45),1)+IF(AND(J44=2,J46=2,G44&gt;E46),1)+IF(AND(J44=3,J42=3,C44&gt;E42),1)+IF(AND(J44=3,J43=3,D44&gt;E43),1)+IF(AND(J44=3,J45=3,F44&gt;E45),1)+IF(AND(J44=3,J46=3,G44&gt;E46),1)</f>
        <v>0</v>
      </c>
      <c r="L44" s="1305">
        <f>IF(AND(J44=1,J42=1),C44-E42)+IF(AND(J44=1,J43=1),D44-E43)+IF(AND(J44=1,J45=1),F44-E45)+IF(AND(J44=1,J46=1),G44-E46)+IF(AND(J44=2,J42=2),C44-E42)+IF(AND(J44=2,J43=2),D44-E43)+IF(AND(J44=2,J45=2),F44-E45)+IF(AND(J44=2,J46=2),G44-E46)+IF(AND(J44=3,J42=3),C44-E42)+IF(AND(J44=3,J43=3),D44-E43)+IF(AND(J44=3,J45=3),F44-E45)+IF(AND(J44=3,J46=3),G44-E46)</f>
        <v>0</v>
      </c>
      <c r="M44" s="515">
        <f t="shared" si="20"/>
        <v>0</v>
      </c>
      <c r="N44" s="668"/>
      <c r="Q44" s="277"/>
      <c r="R44" s="499">
        <f t="shared" si="3"/>
        <v>0</v>
      </c>
      <c r="S44" s="603" t="str">
        <f t="shared" si="4"/>
        <v/>
      </c>
      <c r="T44" s="604" t="str">
        <f>IFERROR(INDEX(Reit!$I:$I,MATCH(S44,Reit!$F:$F,0)),"")</f>
        <v/>
      </c>
      <c r="U44" s="603" t="str">
        <f t="shared" si="5"/>
        <v/>
      </c>
      <c r="V44" s="604" t="str">
        <f>IFERROR(INDEX(Reit!$I:$I,MATCH(U44,Reit!$F:$F,0)),"")</f>
        <v/>
      </c>
      <c r="W44" s="603" t="str">
        <f t="shared" si="6"/>
        <v/>
      </c>
      <c r="X44" s="604" t="str">
        <f>IFERROR(INDEX(Reit!$I:$I,MATCH(W44,Reit!$F:$F,0)),"")</f>
        <v/>
      </c>
      <c r="Y44" s="605" t="str">
        <f t="shared" si="0"/>
        <v/>
      </c>
      <c r="Z44" s="604" t="str">
        <f>IFERROR(INDEX(Reit!$I:$I,MATCH(Y44,Reit!$F:$F,0)),"")</f>
        <v/>
      </c>
      <c r="AA44" s="603" t="str">
        <f t="shared" si="7"/>
        <v/>
      </c>
      <c r="AB44" s="604" t="str">
        <f>IFERROR(INDEX(Reit!$I:$I,MATCH(AA44,Reit!$F:$F,0)),"")</f>
        <v/>
      </c>
    </row>
    <row r="45" spans="1:28" s="498" customFormat="1" hidden="1" x14ac:dyDescent="0.2">
      <c r="A45" s="500">
        <v>4</v>
      </c>
      <c r="B45" s="521"/>
      <c r="C45" s="510"/>
      <c r="D45" s="520"/>
      <c r="E45" s="510"/>
      <c r="F45" s="509"/>
      <c r="G45" s="522"/>
      <c r="H45" s="511" t="str">
        <f>(IF(C45-F42&gt;0,1)+IF(D45-F43&gt;0,1)+IF(E45-F44&gt;0,1)+IF(G45-F46&gt;0,1))&amp;"-"&amp;(IF(C45-F42&lt;0,1)+IF(D45-F43&lt;0,1)+IF(E45-F44&lt;0,1)+IF(G45-F46&lt;0,1))</f>
        <v>0-0</v>
      </c>
      <c r="I45" s="510" t="str">
        <f>IF(AND(B45&lt;&gt;"",M$41=TRUE),A$41&amp;RANK(M45,M$42:VM$46,0),"")</f>
        <v/>
      </c>
      <c r="J45" s="512">
        <f t="shared" si="19"/>
        <v>0</v>
      </c>
      <c r="K45" s="519">
        <f>IF(AND(J45=1,J42=1,C45&gt;F42),1)+IF(AND(J45=1,J43=1,D45&gt;F43),1)+IF(AND(J45=1,J44=1,E45&gt;F44),1)+IF(AND(J45=1,J46=1,G45&gt;F46),1)+IF(AND(J45=2,J42=2,C45&gt;F42),1)+IF(AND(J45=2,J43=2,D45&gt;F43),1)+IF(AND(J45=2,J44=2,E45&gt;F44),1)+IF(AND(J45=2,J46=2,G45&gt;F46),1)+IF(AND(J45=3,J42=3,C45&gt;F42),1)+IF(AND(J45=3,J43=3,D45&gt;F43),1)+IF(AND(J45=3,J44=3,E45&gt;F44),1)+IF(AND(J45=3,J46=3,G45&gt;F46),1)</f>
        <v>0</v>
      </c>
      <c r="L45" s="1305">
        <f>IF(AND(J45=1,J42=1),C45-F42)+IF(AND(J45=1,J43=1),D45-F43)+IF(AND(J45=1,J44=1),E45-F44)+IF(AND(J45=1,J46=1),G45-F46)+IF(AND(J45=2,J42=2),C45-F42)+IF(AND(J45=2,J43=2),D45-F43)+IF(AND(J45=2,J44=2),E45-F44)+IF(AND(J45=2,J46=2),G45-F46)+IF(AND(J45=3,J42=3),C45-F42)+IF(AND(J45=3,J43=3),D45-F43)+IF(AND(J45=3,J44=3),E45-F44)+IF(AND(J45=3,J46=3),G45-F46)</f>
        <v>0</v>
      </c>
      <c r="M45" s="515">
        <f t="shared" si="20"/>
        <v>0</v>
      </c>
      <c r="Q45" s="277"/>
      <c r="R45" s="499">
        <f t="shared" si="3"/>
        <v>0</v>
      </c>
      <c r="S45" s="603" t="str">
        <f t="shared" si="4"/>
        <v/>
      </c>
      <c r="T45" s="604" t="str">
        <f>IFERROR(INDEX(Reit!$I:$I,MATCH(S45,Reit!$F:$F,0)),"")</f>
        <v/>
      </c>
      <c r="U45" s="603" t="str">
        <f t="shared" si="5"/>
        <v/>
      </c>
      <c r="V45" s="604" t="str">
        <f>IFERROR(INDEX(Reit!$I:$I,MATCH(U45,Reit!$F:$F,0)),"")</f>
        <v/>
      </c>
      <c r="W45" s="603" t="str">
        <f t="shared" si="6"/>
        <v/>
      </c>
      <c r="X45" s="604" t="str">
        <f>IFERROR(INDEX(Reit!$I:$I,MATCH(W45,Reit!$F:$F,0)),"")</f>
        <v/>
      </c>
      <c r="Y45" s="605" t="str">
        <f t="shared" si="0"/>
        <v/>
      </c>
      <c r="Z45" s="604" t="str">
        <f>IFERROR(INDEX(Reit!$I:$I,MATCH(Y45,Reit!$F:$F,0)),"")</f>
        <v/>
      </c>
      <c r="AA45" s="603" t="str">
        <f t="shared" si="7"/>
        <v/>
      </c>
      <c r="AB45" s="604" t="str">
        <f>IFERROR(INDEX(Reit!$I:$I,MATCH(AA45,Reit!$F:$F,0)),"")</f>
        <v/>
      </c>
    </row>
    <row r="46" spans="1:28" s="498" customFormat="1" hidden="1" x14ac:dyDescent="0.2">
      <c r="A46" s="500">
        <v>5</v>
      </c>
      <c r="B46" s="521"/>
      <c r="C46" s="510"/>
      <c r="D46" s="510"/>
      <c r="E46" s="510"/>
      <c r="F46" s="510"/>
      <c r="G46" s="509"/>
      <c r="H46" s="511" t="str">
        <f>(IF(C46-G42&gt;0,1)+IF(D46-G43&gt;0,1)+IF(E46-G44&gt;0,1)+IF(F46-G45&gt;0,1))&amp;"-"&amp;(IF(C46-G42&lt;0,1)+IF(D46-G43&lt;0,1)+IF(E46-G44&lt;0,1)+IF(F46-G45&lt;0,1))</f>
        <v>0-0</v>
      </c>
      <c r="I46" s="510" t="str">
        <f>IF(AND(B46&lt;&gt;"",M$41=TRUE),A$41&amp;RANK(M46,M$42:VM$46,0),"")</f>
        <v/>
      </c>
      <c r="J46" s="512">
        <f t="shared" si="19"/>
        <v>0</v>
      </c>
      <c r="K46" s="519">
        <f>IF(AND(J46=1,J42=1,C46&gt;G42),1)+IF(AND(J46=1,J43=1,D46&gt;G43),1)+IF(AND(J46=1,J44=1,E46&gt;G44),1)+IF(AND(J46=1,J45=1,F46&gt;G45),1)+IF(AND(J46=2,J42=2,C46&gt;G42),1)+IF(AND(J46=2,J43=2,D46&gt;G43),1)+IF(AND(J46=2,J44=2,E46&gt;G44),1)+IF(AND(J46=2,J45=2,F46&gt;G45),1)+IF(AND(J46=3,J42=3,C46&gt;G42),1)+IF(AND(J46=3,J43=3,D46&gt;G43),1)+IF(AND(J46=3,J44=3,E46&gt;G44),1)+IF(AND(J46=3,J45=3,F46&gt;G45),1)</f>
        <v>0</v>
      </c>
      <c r="L46" s="1305">
        <f>IF(AND(J46=1,J42=1),C46-G42)+IF(AND(J46=1,J43=1),D46-G43)+IF(AND(J46=1,J44=1),E46-G44)+IF(AND(J46=1,J45=1),F46-G45)+IF(AND(J46=2,J42=2),C46-G42)+IF(AND(J46=2,J43=2),D46-G43)+IF(AND(J46=2,J44=2),E46-G44)+IF(AND(J46=2,J45=2),F46-G45)+IF(AND(J46=3,J42=3),C46-G42)+IF(AND(J46=3,J43=3),D46-G43)+IF(AND(J46=3,J44=3),E46-G44)+IF(AND(J46=3,J45=3),F46-G45)</f>
        <v>0</v>
      </c>
      <c r="M46" s="515">
        <f t="shared" si="20"/>
        <v>0</v>
      </c>
      <c r="Q46" s="277"/>
      <c r="R46" s="499">
        <f t="shared" si="3"/>
        <v>0</v>
      </c>
      <c r="S46" s="603" t="str">
        <f t="shared" si="4"/>
        <v/>
      </c>
      <c r="T46" s="604" t="str">
        <f>IFERROR(INDEX(Reit!$I:$I,MATCH(S46,Reit!$F:$F,0)),"")</f>
        <v/>
      </c>
      <c r="U46" s="603" t="str">
        <f t="shared" si="5"/>
        <v/>
      </c>
      <c r="V46" s="604" t="str">
        <f>IFERROR(INDEX(Reit!$I:$I,MATCH(U46,Reit!$F:$F,0)),"")</f>
        <v/>
      </c>
      <c r="W46" s="603" t="str">
        <f t="shared" si="6"/>
        <v/>
      </c>
      <c r="X46" s="604" t="str">
        <f>IFERROR(INDEX(Reit!$I:$I,MATCH(W46,Reit!$F:$F,0)),"")</f>
        <v/>
      </c>
      <c r="Y46" s="605" t="str">
        <f t="shared" si="0"/>
        <v/>
      </c>
      <c r="Z46" s="604" t="str">
        <f>IFERROR(INDEX(Reit!$I:$I,MATCH(Y46,Reit!$F:$F,0)),"")</f>
        <v/>
      </c>
      <c r="AA46" s="603" t="str">
        <f t="shared" si="7"/>
        <v/>
      </c>
      <c r="AB46" s="604" t="str">
        <f>IFERROR(INDEX(Reit!$I:$I,MATCH(AA46,Reit!$F:$F,0)),"")</f>
        <v/>
      </c>
    </row>
    <row r="47" spans="1:28" s="506" customFormat="1" hidden="1" x14ac:dyDescent="0.2">
      <c r="A47" s="523"/>
      <c r="B47" s="524"/>
      <c r="C47" s="525"/>
      <c r="D47" s="526"/>
      <c r="E47" s="525"/>
      <c r="F47" s="527"/>
      <c r="H47" s="528"/>
      <c r="I47" s="529"/>
      <c r="J47" s="496"/>
      <c r="K47" s="537"/>
      <c r="L47" s="531"/>
      <c r="M47" s="496"/>
      <c r="N47" s="668"/>
      <c r="P47" s="498"/>
      <c r="Q47" s="277"/>
      <c r="R47" s="277"/>
      <c r="S47" s="277"/>
      <c r="T47" s="277"/>
      <c r="U47" s="277"/>
      <c r="V47" s="277"/>
      <c r="W47" s="277"/>
      <c r="X47" s="277"/>
      <c r="Y47" s="277"/>
      <c r="Z47" s="277"/>
      <c r="AA47" s="277"/>
      <c r="AB47" s="277"/>
    </row>
    <row r="48" spans="1:28" s="498" customFormat="1" hidden="1" x14ac:dyDescent="0.2">
      <c r="A48" s="500" t="s">
        <v>146</v>
      </c>
      <c r="B48" s="501"/>
      <c r="C48" s="502">
        <v>1</v>
      </c>
      <c r="D48" s="502">
        <v>2</v>
      </c>
      <c r="E48" s="502">
        <v>3</v>
      </c>
      <c r="F48" s="502">
        <v>4</v>
      </c>
      <c r="G48" s="502">
        <v>5</v>
      </c>
      <c r="H48" s="501" t="s">
        <v>363</v>
      </c>
      <c r="I48" s="501" t="s">
        <v>26</v>
      </c>
      <c r="J48" s="533" t="s">
        <v>156</v>
      </c>
      <c r="K48" s="504" t="s">
        <v>156</v>
      </c>
      <c r="L48" s="534" t="s">
        <v>364</v>
      </c>
      <c r="M48" s="535" t="b">
        <f>OR(AND(COUNTA(B49:B53)=3,COUNTA(C49:G53)=6),AND(COUNTA(B49:B53)=4,COUNTA(C49:G53)=12),AND(COUNTA(B49:B53)=5,COUNTA(C49:G53)=20))</f>
        <v>0</v>
      </c>
      <c r="Q48" s="277"/>
      <c r="R48" s="277"/>
      <c r="S48" s="277"/>
      <c r="T48" s="277"/>
      <c r="U48" s="277"/>
      <c r="V48" s="277"/>
      <c r="W48" s="277"/>
      <c r="X48" s="277"/>
      <c r="Y48" s="277"/>
      <c r="Z48" s="277"/>
      <c r="AA48" s="277"/>
      <c r="AB48" s="277"/>
    </row>
    <row r="49" spans="1:28" s="498" customFormat="1" hidden="1" x14ac:dyDescent="0.2">
      <c r="A49" s="500">
        <v>1</v>
      </c>
      <c r="B49" s="508"/>
      <c r="C49" s="509"/>
      <c r="D49" s="510"/>
      <c r="E49" s="510"/>
      <c r="F49" s="510"/>
      <c r="G49" s="510"/>
      <c r="H49" s="511" t="str">
        <f>(IF(D49-C50&gt;0,1)+IF(E49-C51&gt;0,1)+IF(F49-C52&gt;0,1)+IF(G49-C53&gt;0,1))&amp;"-"&amp;(IF(D49-C50&lt;0,1)+IF(E49-C51&lt;0,1)+IF(F49-C52&lt;0,1)+IF(G49-C53&lt;0,1))</f>
        <v>0-0</v>
      </c>
      <c r="I49" s="510" t="str">
        <f>IF(AND(B49&lt;&gt;"",M$48=TRUE),A$48&amp;RANK(M49,M$49:M$53,0),"")</f>
        <v/>
      </c>
      <c r="J49" s="512">
        <f>VALUE(LEFT(H49,1))</f>
        <v>0</v>
      </c>
      <c r="K49" s="513">
        <f>IF(AND(J49=1,J50=1,D49&gt;C50),1)+IF(AND(J49=1,J51=1,E49&gt;C51),1)+IF(AND(J49=1,J52=1,F49&gt;C52),1)+IF(AND(J49=1,J53=1,G49&gt;C53),1)+IF(AND(J49=2,J50=2,D49&gt;C50),1)+IF(AND(J49=2,J51=2,E49&gt;C51),1)+IF(AND(J49=2,J52=2,F49&gt;C52),1)+IF(AND(J49=2,J53=2,G49&gt;C53),1)+IF(AND(J49=3,J50=3,D49&gt;C50),1)+IF(AND(J49=3,J51=3,E49&gt;C51),1)+IF(AND(J49=3,J52=3,F49&gt;C52),1)+IF(AND(J49=3,J53=3,G49&gt;C53),1)</f>
        <v>0</v>
      </c>
      <c r="L49" s="1305">
        <f>IF(AND(J49=1,J50=1),D49-C50)+IF(AND(J49=1,J51=1),E49-C51)+IF(AND(J49=1,J52=1),F49-C52)+IF(AND(J49=1,J53=1),G49-C53)+IF(AND(J49=2,J50=2),D49-C50)+IF(AND(J49=2,J51=2),E49-C51)+IF(AND(J49=2,J52=2),F49-C52)+IF(AND(J49=2,J53=2),G49-C53)+IF(AND(J49=3,J50=3),D49-C50)+IF(AND(J49=3,J51=3),E49-C51)+IF(AND(J49=3,J52=3),F49-C52)+IF(AND(J49=3,J53=3),G49-C53)</f>
        <v>0</v>
      </c>
      <c r="M49" s="515">
        <f>10000*J49+K49*100+L49</f>
        <v>0</v>
      </c>
      <c r="N49" s="668"/>
      <c r="Q49" s="277"/>
      <c r="R49" s="499">
        <f t="shared" si="3"/>
        <v>0</v>
      </c>
      <c r="S49" s="603" t="str">
        <f t="shared" si="4"/>
        <v/>
      </c>
      <c r="T49" s="604" t="str">
        <f>IFERROR(INDEX(Reit!$I:$I,MATCH(S49,Reit!$F:$F,0)),"")</f>
        <v/>
      </c>
      <c r="U49" s="603" t="str">
        <f t="shared" si="5"/>
        <v/>
      </c>
      <c r="V49" s="604" t="str">
        <f>IFERROR(INDEX(Reit!$I:$I,MATCH(U49,Reit!$F:$F,0)),"")</f>
        <v/>
      </c>
      <c r="W49" s="603" t="str">
        <f t="shared" si="6"/>
        <v/>
      </c>
      <c r="X49" s="604" t="str">
        <f>IFERROR(INDEX(Reit!$I:$I,MATCH(W49,Reit!$F:$F,0)),"")</f>
        <v/>
      </c>
      <c r="Y49" s="605" t="str">
        <f t="shared" si="0"/>
        <v/>
      </c>
      <c r="Z49" s="604" t="str">
        <f>IFERROR(INDEX(Reit!$I:$I,MATCH(Y49,Reit!$F:$F,0)),"")</f>
        <v/>
      </c>
      <c r="AA49" s="603" t="str">
        <f t="shared" si="7"/>
        <v/>
      </c>
      <c r="AB49" s="604" t="str">
        <f>IFERROR(INDEX(Reit!$I:$I,MATCH(AA49,Reit!$F:$F,0)),"")</f>
        <v/>
      </c>
    </row>
    <row r="50" spans="1:28" s="498" customFormat="1" hidden="1" x14ac:dyDescent="0.2">
      <c r="A50" s="500">
        <v>2</v>
      </c>
      <c r="B50" s="518"/>
      <c r="C50" s="510"/>
      <c r="D50" s="509"/>
      <c r="E50" s="510"/>
      <c r="F50" s="510"/>
      <c r="G50" s="510"/>
      <c r="H50" s="511" t="str">
        <f>(IF(C50-D49&gt;0,1)+IF(E50-D51&gt;0,1)+IF(F50-D52&gt;0,1)+IF(G50-D53&gt;0,1))&amp;"-"&amp;(IF(C50-D49&lt;0,1)+IF(E50-D51&lt;0,1)+IF(F50-D52&lt;0,1)+IF(G50-D53&lt;0,1))</f>
        <v>0-0</v>
      </c>
      <c r="I50" s="510" t="str">
        <f>IF(AND(B50&lt;&gt;"",M$48=TRUE),A$48&amp;RANK(M50,M$49:M$53,0),"")</f>
        <v/>
      </c>
      <c r="J50" s="512">
        <f t="shared" ref="J50:J53" si="21">VALUE(LEFT(H50,1))</f>
        <v>0</v>
      </c>
      <c r="K50" s="519">
        <f>IF(AND(J50=1,J49=1,C50&gt;D49),1)+IF(AND(J50=1,J51=1,E50&gt;D51),1)+IF(AND(J50=1,J52=1,F50&gt;D52),1)+IF(AND(J50=1,J53=1,G50&gt;D53),1)+IF(AND(J50=2,J49=2,C50&gt;D49),1)+IF(AND(J50=2,J51=2,E50&gt;D51),1)+IF(AND(J50=2,J52=2,F50&gt;D52),1)+IF(AND(J50=2,J53=2,G50&gt;D53),1)+IF(AND(J50=3,J49=3,C50&gt;D49),1)+IF(AND(J50=3,J51=3,E50&gt;D51),1)+IF(AND(J50=3,J52=3,F50&gt;D52),1)+IF(AND(J50=3,J53=3,G50&gt;D53),1)</f>
        <v>0</v>
      </c>
      <c r="L50" s="1305">
        <f>IF(AND(J50=1,J49=1),C50-D49)+IF(AND(J50=1,J51=1),E50-D51)+IF(AND(J50=1,J52=1),F50-D52)+IF(AND(J50=1,J53=1),G50-D53)+IF(AND(J50=2,J49=2),C50-D49)+IF(AND(J50=2,J51=2),E50-D51)+IF(AND(J50=2,J52=2),F50-D52)+IF(AND(J50=2,J53=2),G50-D53)+IF(AND(J50=3,J49=3),C50-D49)+IF(AND(J50=3,J51=3),E50-D51)+IF(AND(J50=3,J52=3),F50-D52)+IF(AND(J50=3,J53=3),G50-D53)</f>
        <v>0</v>
      </c>
      <c r="M50" s="515">
        <f t="shared" ref="M50:M53" si="22">10000*J50+K50*100+L50</f>
        <v>0</v>
      </c>
      <c r="Q50" s="277"/>
      <c r="R50" s="499">
        <f t="shared" si="3"/>
        <v>0</v>
      </c>
      <c r="S50" s="603" t="str">
        <f t="shared" si="4"/>
        <v/>
      </c>
      <c r="T50" s="604" t="str">
        <f>IFERROR(INDEX(Reit!$I:$I,MATCH(S50,Reit!$F:$F,0)),"")</f>
        <v/>
      </c>
      <c r="U50" s="603" t="str">
        <f t="shared" si="5"/>
        <v/>
      </c>
      <c r="V50" s="604" t="str">
        <f>IFERROR(INDEX(Reit!$I:$I,MATCH(U50,Reit!$F:$F,0)),"")</f>
        <v/>
      </c>
      <c r="W50" s="603" t="str">
        <f t="shared" si="6"/>
        <v/>
      </c>
      <c r="X50" s="604" t="str">
        <f>IFERROR(INDEX(Reit!$I:$I,MATCH(W50,Reit!$F:$F,0)),"")</f>
        <v/>
      </c>
      <c r="Y50" s="605" t="str">
        <f t="shared" si="0"/>
        <v/>
      </c>
      <c r="Z50" s="604" t="str">
        <f>IFERROR(INDEX(Reit!$I:$I,MATCH(Y50,Reit!$F:$F,0)),"")</f>
        <v/>
      </c>
      <c r="AA50" s="603" t="str">
        <f t="shared" si="7"/>
        <v/>
      </c>
      <c r="AB50" s="604" t="str">
        <f>IFERROR(INDEX(Reit!$I:$I,MATCH(AA50,Reit!$F:$F,0)),"")</f>
        <v/>
      </c>
    </row>
    <row r="51" spans="1:28" s="498" customFormat="1" hidden="1" x14ac:dyDescent="0.2">
      <c r="A51" s="500">
        <v>3</v>
      </c>
      <c r="B51" s="518"/>
      <c r="C51" s="510"/>
      <c r="D51" s="520"/>
      <c r="E51" s="509"/>
      <c r="F51" s="510"/>
      <c r="G51" s="510"/>
      <c r="H51" s="511" t="str">
        <f>(IF(C51-E49&gt;0,1)+IF(D51-E50&gt;0,1)+IF(F51-E52&gt;0,1)+IF(G51-E53&gt;0,1))&amp;"-"&amp;(IF(C51-E49&lt;0,1)+IF(D51-E50&lt;0,1)+IF(F51-E52&lt;0,1)+IF(G51-E53&lt;0,1))</f>
        <v>0-0</v>
      </c>
      <c r="I51" s="510" t="str">
        <f>IF(AND(B51&lt;&gt;"",M$48=TRUE),A$48&amp;RANK(M51,M$49:M$53,0),"")</f>
        <v/>
      </c>
      <c r="J51" s="512">
        <f t="shared" si="21"/>
        <v>0</v>
      </c>
      <c r="K51" s="519">
        <f>IF(AND(J51=1,J49=1,C51&gt;E49),1)+IF(AND(J51=1,J50=1,D51&gt;E50),1)+IF(AND(J51=1,J52=1,F51&gt;E52),1)+IF(AND(J51=1,J53=1,G51&gt;E53),1)+IF(AND(J51=2,J49=2,C51&gt;E49),1)+IF(AND(J51=2,J50=2,D51&gt;E50),1)+IF(AND(J51=2,J52=2,F51&gt;E52),1)+IF(AND(J51=2,J53=2,G51&gt;E53),1)+IF(AND(J51=3,J49=3,C51&gt;E49),1)+IF(AND(J51=3,J50=3,D51&gt;E50),1)+IF(AND(J51=3,J52=3,F51&gt;E52),1)+IF(AND(J51=3,J53=3,G51&gt;E53),1)</f>
        <v>0</v>
      </c>
      <c r="L51" s="1305">
        <f>IF(AND(J51=1,J49=1),C51-E49)+IF(AND(J51=1,J50=1),D51-E50)+IF(AND(J51=1,J52=1),F51-E52)+IF(AND(J51=1,J53=1),G51-E53)+IF(AND(J51=2,J49=2),C51-E49)+IF(AND(J51=2,J50=2),D51-E50)+IF(AND(J51=2,J52=2),F51-E52)+IF(AND(J51=2,J53=2),G51-E53)+IF(AND(J51=3,J49=3),C51-E49)+IF(AND(J51=3,J50=3),D51-E50)+IF(AND(J51=3,J52=3),F51-E52)+IF(AND(J51=3,J53=3),G51-E53)</f>
        <v>0</v>
      </c>
      <c r="M51" s="515">
        <f t="shared" si="22"/>
        <v>0</v>
      </c>
      <c r="N51" s="536"/>
      <c r="Q51" s="277"/>
      <c r="R51" s="499">
        <f t="shared" si="3"/>
        <v>0</v>
      </c>
      <c r="S51" s="603" t="str">
        <f t="shared" si="4"/>
        <v/>
      </c>
      <c r="T51" s="604" t="str">
        <f>IFERROR(INDEX(Reit!$I:$I,MATCH(S51,Reit!$F:$F,0)),"")</f>
        <v/>
      </c>
      <c r="U51" s="603" t="str">
        <f t="shared" si="5"/>
        <v/>
      </c>
      <c r="V51" s="604" t="str">
        <f>IFERROR(INDEX(Reit!$I:$I,MATCH(U51,Reit!$F:$F,0)),"")</f>
        <v/>
      </c>
      <c r="W51" s="603" t="str">
        <f t="shared" si="6"/>
        <v/>
      </c>
      <c r="X51" s="604" t="str">
        <f>IFERROR(INDEX(Reit!$I:$I,MATCH(W51,Reit!$F:$F,0)),"")</f>
        <v/>
      </c>
      <c r="Y51" s="605" t="str">
        <f t="shared" si="0"/>
        <v/>
      </c>
      <c r="Z51" s="604" t="str">
        <f>IFERROR(INDEX(Reit!$I:$I,MATCH(Y51,Reit!$F:$F,0)),"")</f>
        <v/>
      </c>
      <c r="AA51" s="603" t="str">
        <f t="shared" si="7"/>
        <v/>
      </c>
      <c r="AB51" s="604" t="str">
        <f>IFERROR(INDEX(Reit!$I:$I,MATCH(AA51,Reit!$F:$F,0)),"")</f>
        <v/>
      </c>
    </row>
    <row r="52" spans="1:28" s="498" customFormat="1" hidden="1" x14ac:dyDescent="0.2">
      <c r="A52" s="500">
        <v>4</v>
      </c>
      <c r="B52" s="521"/>
      <c r="C52" s="510"/>
      <c r="D52" s="520"/>
      <c r="E52" s="510"/>
      <c r="F52" s="509"/>
      <c r="G52" s="522"/>
      <c r="H52" s="511" t="str">
        <f>(IF(C52-F49&gt;0,1)+IF(D52-F50&gt;0,1)+IF(E52-F51&gt;0,1)+IF(G52-F53&gt;0,1))&amp;"-"&amp;(IF(C52-F49&lt;0,1)+IF(D52-F50&lt;0,1)+IF(E52-F51&lt;0,1)+IF(G52-F53&lt;0,1))</f>
        <v>0-0</v>
      </c>
      <c r="I52" s="510" t="str">
        <f>IF(AND(B52&lt;&gt;"",M$48=TRUE),A$48&amp;RANK(M52,M$49:M$53,0),"")</f>
        <v/>
      </c>
      <c r="J52" s="512">
        <f t="shared" si="21"/>
        <v>0</v>
      </c>
      <c r="K52" s="519">
        <f>IF(AND(J52=1,J49=1,C52&gt;F49),1)+IF(AND(J52=1,J50=1,D52&gt;F50),1)+IF(AND(J52=1,J51=1,E52&gt;F51),1)+IF(AND(J52=1,J53=1,G52&gt;F53),1)+IF(AND(J52=2,J49=2,C52&gt;F49),1)+IF(AND(J52=2,J50=2,D52&gt;F50),1)+IF(AND(J52=2,J51=2,E52&gt;F51),1)+IF(AND(J52=2,J53=2,G52&gt;F53),1)+IF(AND(J52=3,J49=3,C52&gt;F49),1)+IF(AND(J52=3,J50=3,D52&gt;F50),1)+IF(AND(J52=3,J51=3,E52&gt;F51),1)+IF(AND(J52=3,J53=3,G52&gt;F53),1)</f>
        <v>0</v>
      </c>
      <c r="L52" s="1305">
        <f>IF(AND(J52=1,J49=1),C52-F49)+IF(AND(J52=1,J50=1),D52-F50)+IF(AND(J52=1,J51=1),E52-F51)+IF(AND(J52=1,J53=1),G52-F53)+IF(AND(J52=2,J49=2),C52-F49)+IF(AND(J52=2,J50=2),D52-F50)+IF(AND(J52=2,J51=2),E52-F51)+IF(AND(J52=2,J53=2),G52-F53)+IF(AND(J52=3,J49=3),C52-F49)+IF(AND(J52=3,J50=3),D52-F50)+IF(AND(J52=3,J51=3),E52-F51)+IF(AND(J52=3,J53=3),G52-F53)</f>
        <v>0</v>
      </c>
      <c r="M52" s="515">
        <f t="shared" si="22"/>
        <v>0</v>
      </c>
      <c r="N52" s="668"/>
      <c r="Q52" s="277"/>
      <c r="R52" s="499">
        <f t="shared" si="3"/>
        <v>0</v>
      </c>
      <c r="S52" s="603" t="str">
        <f t="shared" si="4"/>
        <v/>
      </c>
      <c r="T52" s="604" t="str">
        <f>IFERROR(INDEX(Reit!$I:$I,MATCH(S52,Reit!$F:$F,0)),"")</f>
        <v/>
      </c>
      <c r="U52" s="603" t="str">
        <f t="shared" si="5"/>
        <v/>
      </c>
      <c r="V52" s="604" t="str">
        <f>IFERROR(INDEX(Reit!$I:$I,MATCH(U52,Reit!$F:$F,0)),"")</f>
        <v/>
      </c>
      <c r="W52" s="603" t="str">
        <f t="shared" si="6"/>
        <v/>
      </c>
      <c r="X52" s="604" t="str">
        <f>IFERROR(INDEX(Reit!$I:$I,MATCH(W52,Reit!$F:$F,0)),"")</f>
        <v/>
      </c>
      <c r="Y52" s="605" t="str">
        <f t="shared" si="0"/>
        <v/>
      </c>
      <c r="Z52" s="604" t="str">
        <f>IFERROR(INDEX(Reit!$I:$I,MATCH(Y52,Reit!$F:$F,0)),"")</f>
        <v/>
      </c>
      <c r="AA52" s="603" t="str">
        <f t="shared" si="7"/>
        <v/>
      </c>
      <c r="AB52" s="604" t="str">
        <f>IFERROR(INDEX(Reit!$I:$I,MATCH(AA52,Reit!$F:$F,0)),"")</f>
        <v/>
      </c>
    </row>
    <row r="53" spans="1:28" s="498" customFormat="1" hidden="1" x14ac:dyDescent="0.2">
      <c r="A53" s="500">
        <v>5</v>
      </c>
      <c r="B53" s="521"/>
      <c r="C53" s="510"/>
      <c r="D53" s="510"/>
      <c r="E53" s="510"/>
      <c r="F53" s="510"/>
      <c r="G53" s="509"/>
      <c r="H53" s="511" t="str">
        <f>(IF(C53-G49&gt;0,1)+IF(D53-G50&gt;0,1)+IF(E53-G51&gt;0,1)+IF(F53-G52&gt;0,1))&amp;"-"&amp;(IF(C53-G49&lt;0,1)+IF(D53-G50&lt;0,1)+IF(E53-G51&lt;0,1)+IF(F53-G52&lt;0,1))</f>
        <v>0-0</v>
      </c>
      <c r="I53" s="510" t="str">
        <f>IF(AND(B53&lt;&gt;"",M$48=TRUE),A$48&amp;RANK(M53,M$49:M$53,0),"")</f>
        <v/>
      </c>
      <c r="J53" s="512">
        <f t="shared" si="21"/>
        <v>0</v>
      </c>
      <c r="K53" s="519">
        <f>IF(AND(J53=1,J49=1,C53&gt;G49),1)+IF(AND(J53=1,J50=1,D53&gt;G50),1)+IF(AND(J53=1,J51=1,E53&gt;G51),1)+IF(AND(J53=1,J52=1,F53&gt;G52),1)+IF(AND(J53=2,J49=2,C53&gt;G49),1)+IF(AND(J53=2,J50=2,D53&gt;G50),1)+IF(AND(J53=2,J51=2,E53&gt;G51),1)+IF(AND(J53=2,J52=2,F53&gt;G52),1)+IF(AND(J53=3,J49=3,C53&gt;G49),1)+IF(AND(J53=3,J50=3,D53&gt;G50),1)+IF(AND(J53=3,J51=3,E53&gt;G51),1)+IF(AND(J53=3,J52=3,F53&gt;G52),1)</f>
        <v>0</v>
      </c>
      <c r="L53" s="1305">
        <f>IF(AND(J53=1,J49=1),C53-G49)+IF(AND(J53=1,J50=1),D53-G50)+IF(AND(J53=1,J51=1),E53-G51)+IF(AND(J53=1,J52=1),F53-G52)+IF(AND(J53=2,J49=2),C53-G49)+IF(AND(J53=2,J50=2),D53-G50)+IF(AND(J53=2,J51=2),E53-G51)+IF(AND(J53=2,J52=2),F53-G52)+IF(AND(J53=3,J49=3),C53-G49)+IF(AND(J53=3,J50=3),D53-G50)+IF(AND(J53=3,J51=3),E53-G51)+IF(AND(J53=3,J52=3),F53-G52)</f>
        <v>0</v>
      </c>
      <c r="M53" s="515">
        <f t="shared" si="22"/>
        <v>0</v>
      </c>
      <c r="Q53" s="277"/>
      <c r="R53" s="499">
        <f t="shared" si="3"/>
        <v>0</v>
      </c>
      <c r="S53" s="603" t="str">
        <f t="shared" si="4"/>
        <v/>
      </c>
      <c r="T53" s="604" t="str">
        <f>IFERROR(INDEX(Reit!$I:$I,MATCH(S53,Reit!$F:$F,0)),"")</f>
        <v/>
      </c>
      <c r="U53" s="603" t="str">
        <f t="shared" si="5"/>
        <v/>
      </c>
      <c r="V53" s="604" t="str">
        <f>IFERROR(INDEX(Reit!$I:$I,MATCH(U53,Reit!$F:$F,0)),"")</f>
        <v/>
      </c>
      <c r="W53" s="603" t="str">
        <f t="shared" si="6"/>
        <v/>
      </c>
      <c r="X53" s="604" t="str">
        <f>IFERROR(INDEX(Reit!$I:$I,MATCH(W53,Reit!$F:$F,0)),"")</f>
        <v/>
      </c>
      <c r="Y53" s="605" t="str">
        <f t="shared" si="0"/>
        <v/>
      </c>
      <c r="Z53" s="604" t="str">
        <f>IFERROR(INDEX(Reit!$I:$I,MATCH(Y53,Reit!$F:$F,0)),"")</f>
        <v/>
      </c>
      <c r="AA53" s="603" t="str">
        <f t="shared" si="7"/>
        <v/>
      </c>
      <c r="AB53" s="604" t="str">
        <f>IFERROR(INDEX(Reit!$I:$I,MATCH(AA53,Reit!$F:$F,0)),"")</f>
        <v/>
      </c>
    </row>
    <row r="54" spans="1:28" s="498" customFormat="1" hidden="1" x14ac:dyDescent="0.2">
      <c r="A54" s="538"/>
      <c r="B54" s="539"/>
      <c r="C54" s="540"/>
      <c r="D54" s="540"/>
      <c r="E54" s="540"/>
      <c r="H54" s="541"/>
      <c r="I54" s="542"/>
      <c r="J54" s="543"/>
      <c r="K54" s="530"/>
      <c r="L54" s="544"/>
      <c r="M54" s="543"/>
      <c r="N54" s="532"/>
      <c r="Q54" s="277"/>
      <c r="R54" s="277"/>
      <c r="S54" s="277"/>
      <c r="T54" s="277"/>
      <c r="U54" s="277"/>
      <c r="V54" s="277"/>
      <c r="W54" s="277"/>
      <c r="X54" s="277"/>
      <c r="Y54" s="277"/>
      <c r="Z54" s="277"/>
      <c r="AA54" s="277"/>
      <c r="AB54" s="277"/>
    </row>
    <row r="55" spans="1:28" s="506" customFormat="1" hidden="1" x14ac:dyDescent="0.2">
      <c r="A55" s="500" t="s">
        <v>147</v>
      </c>
      <c r="B55" s="501"/>
      <c r="C55" s="502">
        <v>1</v>
      </c>
      <c r="D55" s="502">
        <v>2</v>
      </c>
      <c r="E55" s="502">
        <v>3</v>
      </c>
      <c r="F55" s="502">
        <v>4</v>
      </c>
      <c r="G55" s="502">
        <v>5</v>
      </c>
      <c r="H55" s="501" t="s">
        <v>363</v>
      </c>
      <c r="I55" s="501" t="s">
        <v>26</v>
      </c>
      <c r="J55" s="533" t="s">
        <v>156</v>
      </c>
      <c r="K55" s="504" t="s">
        <v>156</v>
      </c>
      <c r="L55" s="534" t="s">
        <v>364</v>
      </c>
      <c r="M55" s="535" t="b">
        <f>OR(AND(COUNTA(B56:B60)=3,COUNTA(C56:G60)=6),AND(COUNTA(B56:B60)=4,COUNTA(C56:G60)=12),AND(COUNTA(B56:B60)=5,COUNTA(C56:G60)=20))</f>
        <v>0</v>
      </c>
      <c r="N55" s="668"/>
      <c r="O55" s="498"/>
      <c r="P55" s="498"/>
      <c r="Q55" s="277"/>
      <c r="R55" s="277"/>
      <c r="S55" s="277"/>
      <c r="T55" s="277"/>
      <c r="U55" s="277"/>
      <c r="V55" s="277"/>
      <c r="W55" s="277"/>
      <c r="X55" s="277"/>
      <c r="Y55" s="277"/>
      <c r="Z55" s="277"/>
      <c r="AA55" s="277"/>
      <c r="AB55" s="277"/>
    </row>
    <row r="56" spans="1:28" s="506" customFormat="1" hidden="1" x14ac:dyDescent="0.2">
      <c r="A56" s="500">
        <v>1</v>
      </c>
      <c r="B56" s="508"/>
      <c r="C56" s="509"/>
      <c r="D56" s="510"/>
      <c r="E56" s="510"/>
      <c r="F56" s="510"/>
      <c r="G56" s="510"/>
      <c r="H56" s="511" t="str">
        <f>(IF(D56-C57&gt;0,1)+IF(E56-C58&gt;0,1)+IF(F56-C59&gt;0,1)+IF(G56-C60&gt;0,1))&amp;"-"&amp;(IF(D56-C57&lt;0,1)+IF(E56-C58&lt;0,1)+IF(F56-C59&lt;0,1)+IF(G56-C60&lt;0,1))</f>
        <v>0-0</v>
      </c>
      <c r="I56" s="510" t="str">
        <f>IF(AND(B56&lt;&gt;"",M$55=TRUE),A$55&amp;RANK(M56,M$56:M$60,0),"")</f>
        <v/>
      </c>
      <c r="J56" s="512">
        <f>VALUE(LEFT(H56,1))</f>
        <v>0</v>
      </c>
      <c r="K56" s="513">
        <f>IF(AND(J56=1,J57=1,D56&gt;C57),1)+IF(AND(J56=1,J58=1,E56&gt;C58),1)+IF(AND(J56=1,J59=1,F56&gt;C59),1)+IF(AND(J56=1,J60=1,G56&gt;C60),1)+IF(AND(J56=2,J57=2,D56&gt;C57),1)+IF(AND(J56=2,J58=2,E56&gt;C58),1)+IF(AND(J56=2,J59=2,F56&gt;C59),1)+IF(AND(J56=2,J60=2,G56&gt;C60),1)+IF(AND(J56=3,J57=3,D56&gt;C57),1)+IF(AND(J56=3,J58=3,E56&gt;C58),1)+IF(AND(J56=3,J59=3,F56&gt;C59),1)+IF(AND(J56=3,J60=3,G56&gt;C60),1)</f>
        <v>0</v>
      </c>
      <c r="L56" s="1305">
        <f>IF(AND(J56=1,J57=1),D56-C57)+IF(AND(J56=1,J58=1),E56-C58)+IF(AND(J56=1,J59=1),F56-C59)+IF(AND(J56=1,J60=1),G56-C60)+IF(AND(J56=2,J57=2),D56-C57)+IF(AND(J56=2,J58=2),E56-C58)+IF(AND(J56=2,J59=2),F56-C59)+IF(AND(J56=2,J60=2),G56-C60)+IF(AND(J56=3,J57=3),D56-C57)+IF(AND(J56=3,J58=3),E56-C58)+IF(AND(J56=3,J59=3),F56-C59)+IF(AND(J56=3,J60=3),G56-C60)</f>
        <v>0</v>
      </c>
      <c r="M56" s="515">
        <f>10000*J56+K56*100+L56</f>
        <v>0</v>
      </c>
      <c r="N56" s="668"/>
      <c r="O56" s="536"/>
      <c r="P56" s="498"/>
      <c r="Q56" s="277"/>
      <c r="R56" s="499">
        <f t="shared" si="3"/>
        <v>0</v>
      </c>
      <c r="S56" s="603" t="str">
        <f t="shared" si="4"/>
        <v/>
      </c>
      <c r="T56" s="604" t="str">
        <f>IFERROR(INDEX(Reit!$I:$I,MATCH(S56,Reit!$F:$F,0)),"")</f>
        <v/>
      </c>
      <c r="U56" s="603" t="str">
        <f t="shared" si="5"/>
        <v/>
      </c>
      <c r="V56" s="604" t="str">
        <f>IFERROR(INDEX(Reit!$I:$I,MATCH(U56,Reit!$F:$F,0)),"")</f>
        <v/>
      </c>
      <c r="W56" s="603" t="str">
        <f t="shared" si="6"/>
        <v/>
      </c>
      <c r="X56" s="604" t="str">
        <f>IFERROR(INDEX(Reit!$I:$I,MATCH(W56,Reit!$F:$F,0)),"")</f>
        <v/>
      </c>
      <c r="Y56" s="605" t="str">
        <f t="shared" si="0"/>
        <v/>
      </c>
      <c r="Z56" s="604" t="str">
        <f>IFERROR(INDEX(Reit!$I:$I,MATCH(Y56,Reit!$F:$F,0)),"")</f>
        <v/>
      </c>
      <c r="AA56" s="603" t="str">
        <f t="shared" si="7"/>
        <v/>
      </c>
      <c r="AB56" s="604" t="str">
        <f>IFERROR(INDEX(Reit!$I:$I,MATCH(AA56,Reit!$F:$F,0)),"")</f>
        <v/>
      </c>
    </row>
    <row r="57" spans="1:28" s="506" customFormat="1" hidden="1" x14ac:dyDescent="0.2">
      <c r="A57" s="500">
        <v>2</v>
      </c>
      <c r="B57" s="518"/>
      <c r="C57" s="510"/>
      <c r="D57" s="509"/>
      <c r="E57" s="510"/>
      <c r="F57" s="510"/>
      <c r="G57" s="510"/>
      <c r="H57" s="511" t="str">
        <f>(IF(C57-D56&gt;0,1)+IF(E57-D58&gt;0,1)+IF(F57-D59&gt;0,1)+IF(G57-D60&gt;0,1))&amp;"-"&amp;(IF(C57-D56&lt;0,1)+IF(E57-D58&lt;0,1)+IF(F57-D59&lt;0,1)+IF(G57-D60&lt;0,1))</f>
        <v>0-0</v>
      </c>
      <c r="I57" s="510" t="str">
        <f>IF(AND(B57&lt;&gt;"",M$55=TRUE),A$55&amp;RANK(M57,M$56:M$60,0),"")</f>
        <v/>
      </c>
      <c r="J57" s="512">
        <f t="shared" ref="J57:J60" si="23">VALUE(LEFT(H57,1))</f>
        <v>0</v>
      </c>
      <c r="K57" s="519">
        <f>IF(AND(J57=1,J56=1,C57&gt;D56),1)+IF(AND(J57=1,J58=1,E57&gt;D58),1)+IF(AND(J57=1,J59=1,F57&gt;D59),1)+IF(AND(J57=1,J60=1,G57&gt;D60),1)+IF(AND(J57=2,J56=2,C57&gt;D56),1)+IF(AND(J57=2,J58=2,E57&gt;D58),1)+IF(AND(J57=2,J59=2,F57&gt;D59),1)+IF(AND(J57=2,J60=2,G57&gt;D60),1)+IF(AND(J57=3,J56=3,C57&gt;D56),1)+IF(AND(J57=3,J58=3,E57&gt;D58),1)+IF(AND(J57=3,J59=3,F57&gt;D59),1)+IF(AND(J57=3,J60=3,G57&gt;D60),1)</f>
        <v>0</v>
      </c>
      <c r="L57" s="1305">
        <f>IF(AND(J57=1,J56=1),C57-D56)+IF(AND(J57=1,J58=1),E57-D58)+IF(AND(J57=1,J59=1),F57-D59)+IF(AND(J57=1,J60=1),G57-D60)+IF(AND(J57=2,J56=2),C57-D56)+IF(AND(J57=2,J58=2),E57-D58)+IF(AND(J57=2,J59=2),F57-D59)+IF(AND(J57=2,J60=2),G57-D60)+IF(AND(J57=3,J56=3),C57-D56)+IF(AND(J57=3,J58=3),E57-D58)+IF(AND(J57=3,J59=3),F57-D59)+IF(AND(J57=3,J60=3),G57-D60)</f>
        <v>0</v>
      </c>
      <c r="M57" s="515">
        <f t="shared" ref="M57:M60" si="24">10000*J57+K57*100+L57</f>
        <v>0</v>
      </c>
      <c r="N57" s="668"/>
      <c r="O57" s="536"/>
      <c r="P57" s="498"/>
      <c r="Q57" s="277"/>
      <c r="R57" s="499">
        <f t="shared" si="3"/>
        <v>0</v>
      </c>
      <c r="S57" s="603" t="str">
        <f t="shared" si="4"/>
        <v/>
      </c>
      <c r="T57" s="604" t="str">
        <f>IFERROR(INDEX(Reit!$I:$I,MATCH(S57,Reit!$F:$F,0)),"")</f>
        <v/>
      </c>
      <c r="U57" s="603" t="str">
        <f t="shared" si="5"/>
        <v/>
      </c>
      <c r="V57" s="604" t="str">
        <f>IFERROR(INDEX(Reit!$I:$I,MATCH(U57,Reit!$F:$F,0)),"")</f>
        <v/>
      </c>
      <c r="W57" s="603" t="str">
        <f t="shared" si="6"/>
        <v/>
      </c>
      <c r="X57" s="604" t="str">
        <f>IFERROR(INDEX(Reit!$I:$I,MATCH(W57,Reit!$F:$F,0)),"")</f>
        <v/>
      </c>
      <c r="Y57" s="605" t="str">
        <f t="shared" si="0"/>
        <v/>
      </c>
      <c r="Z57" s="604" t="str">
        <f>IFERROR(INDEX(Reit!$I:$I,MATCH(Y57,Reit!$F:$F,0)),"")</f>
        <v/>
      </c>
      <c r="AA57" s="603" t="str">
        <f t="shared" si="7"/>
        <v/>
      </c>
      <c r="AB57" s="604" t="str">
        <f>IFERROR(INDEX(Reit!$I:$I,MATCH(AA57,Reit!$F:$F,0)),"")</f>
        <v/>
      </c>
    </row>
    <row r="58" spans="1:28" s="506" customFormat="1" hidden="1" x14ac:dyDescent="0.2">
      <c r="A58" s="500">
        <v>3</v>
      </c>
      <c r="B58" s="518"/>
      <c r="C58" s="510"/>
      <c r="D58" s="520"/>
      <c r="E58" s="509"/>
      <c r="F58" s="510"/>
      <c r="G58" s="510"/>
      <c r="H58" s="511" t="str">
        <f>(IF(C58-E56&gt;0,1)+IF(D58-E57&gt;0,1)+IF(F58-E59&gt;0,1)+IF(G58-E60&gt;0,1))&amp;"-"&amp;(IF(C58-E56&lt;0,1)+IF(D58-E57&lt;0,1)+IF(F58-E59&lt;0,1)+IF(G58-E60&lt;0,1))</f>
        <v>0-0</v>
      </c>
      <c r="I58" s="510" t="str">
        <f>IF(AND(B58&lt;&gt;"",M$55=TRUE),A$55&amp;RANK(M58,M$56:M$60,0),"")</f>
        <v/>
      </c>
      <c r="J58" s="512">
        <f t="shared" si="23"/>
        <v>0</v>
      </c>
      <c r="K58" s="519">
        <f>IF(AND(J58=1,J56=1,C58&gt;E56),1)+IF(AND(J58=1,J57=1,D58&gt;E57),1)+IF(AND(J58=1,J59=1,F58&gt;E59),1)+IF(AND(J58=1,J60=1,G58&gt;E60),1)+IF(AND(J58=2,J56=2,C58&gt;E56),1)+IF(AND(J58=2,J57=2,D58&gt;E57),1)+IF(AND(J58=2,J59=2,F58&gt;E59),1)+IF(AND(J58=2,J60=2,G58&gt;E60),1)+IF(AND(J58=3,J56=3,C58&gt;E56),1)+IF(AND(J58=3,J57=3,D58&gt;E57),1)+IF(AND(J58=3,J59=3,F58&gt;E59),1)+IF(AND(J58=3,J60=3,G58&gt;E60),1)</f>
        <v>0</v>
      </c>
      <c r="L58" s="1305">
        <f>IF(AND(J58=1,J56=1),C58-E56)+IF(AND(J58=1,J57=1),D58-E57)+IF(AND(J58=1,J59=1),F58-E59)+IF(AND(J58=1,J60=1),G58-E60)+IF(AND(J58=2,J56=2),C58-E56)+IF(AND(J58=2,J57=2),D58-E57)+IF(AND(J58=2,J59=2),F58-E59)+IF(AND(J58=2,J60=2),G58-E60)+IF(AND(J58=3,J56=3),C58-E56)+IF(AND(J58=3,J57=3),D58-E57)+IF(AND(J58=3,J59=3),F58-E59)+IF(AND(J58=3,J60=3),G58-E60)</f>
        <v>0</v>
      </c>
      <c r="M58" s="515">
        <f t="shared" si="24"/>
        <v>0</v>
      </c>
      <c r="N58" s="532"/>
      <c r="P58" s="498"/>
      <c r="Q58" s="277"/>
      <c r="R58" s="499">
        <f t="shared" si="3"/>
        <v>0</v>
      </c>
      <c r="S58" s="603" t="str">
        <f t="shared" si="4"/>
        <v/>
      </c>
      <c r="T58" s="604" t="str">
        <f>IFERROR(INDEX(Reit!$I:$I,MATCH(S58,Reit!$F:$F,0)),"")</f>
        <v/>
      </c>
      <c r="U58" s="603" t="str">
        <f t="shared" si="5"/>
        <v/>
      </c>
      <c r="V58" s="604" t="str">
        <f>IFERROR(INDEX(Reit!$I:$I,MATCH(U58,Reit!$F:$F,0)),"")</f>
        <v/>
      </c>
      <c r="W58" s="603" t="str">
        <f t="shared" si="6"/>
        <v/>
      </c>
      <c r="X58" s="604" t="str">
        <f>IFERROR(INDEX(Reit!$I:$I,MATCH(W58,Reit!$F:$F,0)),"")</f>
        <v/>
      </c>
      <c r="Y58" s="605" t="str">
        <f t="shared" si="0"/>
        <v/>
      </c>
      <c r="Z58" s="604" t="str">
        <f>IFERROR(INDEX(Reit!$I:$I,MATCH(Y58,Reit!$F:$F,0)),"")</f>
        <v/>
      </c>
      <c r="AA58" s="603" t="str">
        <f t="shared" si="7"/>
        <v/>
      </c>
      <c r="AB58" s="604" t="str">
        <f>IFERROR(INDEX(Reit!$I:$I,MATCH(AA58,Reit!$F:$F,0)),"")</f>
        <v/>
      </c>
    </row>
    <row r="59" spans="1:28" s="506" customFormat="1" hidden="1" x14ac:dyDescent="0.2">
      <c r="A59" s="500">
        <v>4</v>
      </c>
      <c r="B59" s="521"/>
      <c r="C59" s="510"/>
      <c r="D59" s="520"/>
      <c r="E59" s="510"/>
      <c r="F59" s="509"/>
      <c r="G59" s="522"/>
      <c r="H59" s="511" t="str">
        <f>(IF(C59-F56&gt;0,1)+IF(D59-F57&gt;0,1)+IF(E59-F58&gt;0,1)+IF(G59-F60&gt;0,1))&amp;"-"&amp;(IF(C59-F56&lt;0,1)+IF(D59-F57&lt;0,1)+IF(E59-F58&lt;0,1)+IF(G59-F60&lt;0,1))</f>
        <v>0-0</v>
      </c>
      <c r="I59" s="510" t="str">
        <f>IF(AND(B59&lt;&gt;"",M$55=TRUE),A$55&amp;RANK(M59,M$56:M$60,0),"")</f>
        <v/>
      </c>
      <c r="J59" s="512">
        <f t="shared" si="23"/>
        <v>0</v>
      </c>
      <c r="K59" s="519">
        <f>IF(AND(J59=1,J56=1,C59&gt;F56),1)+IF(AND(J59=1,J57=1,D59&gt;F57),1)+IF(AND(J59=1,J58=1,E59&gt;F58),1)+IF(AND(J59=1,J60=1,G59&gt;F60),1)+IF(AND(J59=2,J56=2,C59&gt;F56),1)+IF(AND(J59=2,J57=2,D59&gt;F57),1)+IF(AND(J59=2,J58=2,E59&gt;F58),1)+IF(AND(J59=2,J60=2,G59&gt;F60),1)+IF(AND(J59=3,J56=3,C59&gt;F56),1)+IF(AND(J59=3,J57=3,D59&gt;F57),1)+IF(AND(J59=3,J58=3,E59&gt;F58),1)+IF(AND(J59=3,J60=3,G59&gt;F60),1)</f>
        <v>0</v>
      </c>
      <c r="L59" s="1305">
        <f>IF(AND(J59=1,J56=1),C59-F56)+IF(AND(J59=1,J57=1),D59-F57)+IF(AND(J59=1,J58=1),E59-F58)+IF(AND(J59=1,J60=1),G59-F60)+IF(AND(J59=2,J56=2),C59-F56)+IF(AND(J59=2,J57=2),D59-F57)+IF(AND(J59=2,J58=2),E59-F58)+IF(AND(J59=2,J60=2),G59-F60)+IF(AND(J59=3,J56=3),C59-F56)+IF(AND(J59=3,J57=3),D59-F57)+IF(AND(J59=3,J58=3),E59-F58)+IF(AND(J59=3,J60=3),G59-F60)</f>
        <v>0</v>
      </c>
      <c r="M59" s="515">
        <f t="shared" si="24"/>
        <v>0</v>
      </c>
      <c r="N59" s="668"/>
      <c r="P59" s="498"/>
      <c r="Q59" s="277"/>
      <c r="R59" s="499">
        <f t="shared" si="3"/>
        <v>0</v>
      </c>
      <c r="S59" s="603" t="str">
        <f t="shared" si="4"/>
        <v/>
      </c>
      <c r="T59" s="604" t="str">
        <f>IFERROR(INDEX(Reit!$I:$I,MATCH(S59,Reit!$F:$F,0)),"")</f>
        <v/>
      </c>
      <c r="U59" s="603" t="str">
        <f t="shared" si="5"/>
        <v/>
      </c>
      <c r="V59" s="604" t="str">
        <f>IFERROR(INDEX(Reit!$I:$I,MATCH(U59,Reit!$F:$F,0)),"")</f>
        <v/>
      </c>
      <c r="W59" s="603" t="str">
        <f t="shared" si="6"/>
        <v/>
      </c>
      <c r="X59" s="604" t="str">
        <f>IFERROR(INDEX(Reit!$I:$I,MATCH(W59,Reit!$F:$F,0)),"")</f>
        <v/>
      </c>
      <c r="Y59" s="605" t="str">
        <f t="shared" si="0"/>
        <v/>
      </c>
      <c r="Z59" s="604" t="str">
        <f>IFERROR(INDEX(Reit!$I:$I,MATCH(Y59,Reit!$F:$F,0)),"")</f>
        <v/>
      </c>
      <c r="AA59" s="603" t="str">
        <f t="shared" si="7"/>
        <v/>
      </c>
      <c r="AB59" s="604" t="str">
        <f>IFERROR(INDEX(Reit!$I:$I,MATCH(AA59,Reit!$F:$F,0)),"")</f>
        <v/>
      </c>
    </row>
    <row r="60" spans="1:28" s="506" customFormat="1" hidden="1" x14ac:dyDescent="0.2">
      <c r="A60" s="500">
        <v>5</v>
      </c>
      <c r="B60" s="521"/>
      <c r="C60" s="510"/>
      <c r="D60" s="510"/>
      <c r="E60" s="510"/>
      <c r="F60" s="510"/>
      <c r="G60" s="509"/>
      <c r="H60" s="511" t="str">
        <f>(IF(C60-G56&gt;0,1)+IF(D60-G57&gt;0,1)+IF(E60-G58&gt;0,1)+IF(F60-G59&gt;0,1))&amp;"-"&amp;(IF(C60-G56&lt;0,1)+IF(D60-G57&lt;0,1)+IF(E60-G58&lt;0,1)+IF(F60-G59&lt;0,1))</f>
        <v>0-0</v>
      </c>
      <c r="I60" s="510" t="str">
        <f>IF(AND(B60&lt;&gt;"",M$55=TRUE),A$55&amp;RANK(M60,M$56:M$60,0),"")</f>
        <v/>
      </c>
      <c r="J60" s="512">
        <f t="shared" si="23"/>
        <v>0</v>
      </c>
      <c r="K60" s="519">
        <f>IF(AND(J60=1,J56=1,C60&gt;G56),1)+IF(AND(J60=1,J57=1,D60&gt;G57),1)+IF(AND(J60=1,J58=1,E60&gt;G58),1)+IF(AND(J60=1,J59=1,F60&gt;G59),1)+IF(AND(J60=2,J56=2,C60&gt;G56),1)+IF(AND(J60=2,J57=2,D60&gt;G57),1)+IF(AND(J60=2,J58=2,E60&gt;G58),1)+IF(AND(J60=2,J59=2,F60&gt;G59),1)+IF(AND(J60=3,J56=3,C60&gt;G56),1)+IF(AND(J60=3,J57=3,D60&gt;G57),1)+IF(AND(J60=3,J58=3,E60&gt;G58),1)+IF(AND(J60=3,J59=3,F60&gt;G59),1)</f>
        <v>0</v>
      </c>
      <c r="L60" s="1305">
        <f>IF(AND(J60=1,J56=1),C60-G56)+IF(AND(J60=1,J57=1),D60-G57)+IF(AND(J60=1,J58=1),E60-G58)+IF(AND(J60=1,J59=1),F60-G59)+IF(AND(J60=2,J56=2),C60-G56)+IF(AND(J60=2,J57=2),D60-G57)+IF(AND(J60=2,J58=2),E60-G58)+IF(AND(J60=2,J59=2),F60-G59)+IF(AND(J60=3,J56=3),C60-G56)+IF(AND(J60=3,J57=3),D60-G57)+IF(AND(J60=3,J58=3),E60-G58)+IF(AND(J60=3,J59=3),F60-G59)</f>
        <v>0</v>
      </c>
      <c r="M60" s="515">
        <f t="shared" si="24"/>
        <v>0</v>
      </c>
      <c r="N60" s="498"/>
      <c r="P60" s="498"/>
      <c r="Q60" s="277"/>
      <c r="R60" s="499">
        <f t="shared" si="3"/>
        <v>0</v>
      </c>
      <c r="S60" s="603" t="str">
        <f t="shared" si="4"/>
        <v/>
      </c>
      <c r="T60" s="604" t="str">
        <f>IFERROR(INDEX(Reit!$I:$I,MATCH(S60,Reit!$F:$F,0)),"")</f>
        <v/>
      </c>
      <c r="U60" s="603" t="str">
        <f t="shared" si="5"/>
        <v/>
      </c>
      <c r="V60" s="604" t="str">
        <f>IFERROR(INDEX(Reit!$I:$I,MATCH(U60,Reit!$F:$F,0)),"")</f>
        <v/>
      </c>
      <c r="W60" s="603" t="str">
        <f t="shared" si="6"/>
        <v/>
      </c>
      <c r="X60" s="604" t="str">
        <f>IFERROR(INDEX(Reit!$I:$I,MATCH(W60,Reit!$F:$F,0)),"")</f>
        <v/>
      </c>
      <c r="Y60" s="605" t="str">
        <f t="shared" si="0"/>
        <v/>
      </c>
      <c r="Z60" s="604" t="str">
        <f>IFERROR(INDEX(Reit!$I:$I,MATCH(Y60,Reit!$F:$F,0)),"")</f>
        <v/>
      </c>
      <c r="AA60" s="603" t="str">
        <f t="shared" si="7"/>
        <v/>
      </c>
      <c r="AB60" s="604" t="str">
        <f>IFERROR(INDEX(Reit!$I:$I,MATCH(AA60,Reit!$F:$F,0)),"")</f>
        <v/>
      </c>
    </row>
    <row r="61" spans="1:28" s="55" customFormat="1" hidden="1" x14ac:dyDescent="0.2">
      <c r="Q61" s="277"/>
      <c r="R61" s="277"/>
      <c r="S61" s="277"/>
      <c r="T61" s="277"/>
      <c r="U61" s="277"/>
      <c r="V61" s="277"/>
      <c r="W61" s="277"/>
      <c r="X61" s="277"/>
      <c r="Y61" s="277"/>
      <c r="Z61" s="277"/>
      <c r="AA61" s="277"/>
      <c r="AB61" s="277"/>
    </row>
    <row r="62" spans="1:28" s="55" customFormat="1" hidden="1" x14ac:dyDescent="0.2">
      <c r="B62" s="549" t="s">
        <v>16</v>
      </c>
      <c r="C62" s="550" t="s">
        <v>366</v>
      </c>
      <c r="D62" s="550"/>
      <c r="Q62" s="277"/>
      <c r="R62" s="277"/>
      <c r="S62" s="277"/>
      <c r="T62" s="277"/>
      <c r="U62" s="277"/>
      <c r="V62" s="277"/>
      <c r="W62" s="277"/>
      <c r="X62" s="277"/>
      <c r="Y62" s="277"/>
      <c r="Z62" s="277"/>
      <c r="AA62" s="277"/>
      <c r="AB62" s="277"/>
    </row>
    <row r="63" spans="1:28" s="55" customFormat="1" hidden="1" x14ac:dyDescent="0.2">
      <c r="B63" s="549" t="s">
        <v>17</v>
      </c>
      <c r="C63" s="550" t="s">
        <v>367</v>
      </c>
      <c r="D63" s="506"/>
      <c r="Q63" s="277"/>
      <c r="R63" s="277"/>
      <c r="S63" s="277"/>
      <c r="T63" s="277"/>
      <c r="U63" s="277"/>
      <c r="V63" s="277"/>
      <c r="W63" s="277"/>
      <c r="X63" s="277"/>
      <c r="Y63" s="277"/>
      <c r="Z63" s="277"/>
      <c r="AA63" s="277"/>
      <c r="AB63" s="277"/>
    </row>
    <row r="64" spans="1:28" s="55" customFormat="1" hidden="1" x14ac:dyDescent="0.2">
      <c r="B64" s="549" t="s">
        <v>18</v>
      </c>
      <c r="C64" s="550" t="s">
        <v>368</v>
      </c>
      <c r="D64" s="506"/>
      <c r="Q64" s="277"/>
      <c r="R64" s="277"/>
      <c r="S64" s="277"/>
      <c r="T64" s="277"/>
      <c r="U64" s="277"/>
      <c r="V64" s="277"/>
      <c r="W64" s="277"/>
      <c r="X64" s="277"/>
      <c r="Y64" s="277"/>
      <c r="Z64" s="277"/>
      <c r="AA64" s="277"/>
      <c r="AB64" s="277"/>
    </row>
    <row r="65" spans="2:28" s="55" customFormat="1" hidden="1" x14ac:dyDescent="0.2">
      <c r="B65" s="506"/>
      <c r="C65" s="506"/>
      <c r="D65" s="506"/>
      <c r="Q65" s="277"/>
      <c r="R65" s="277"/>
      <c r="S65" s="277"/>
      <c r="T65" s="277"/>
      <c r="U65" s="277"/>
      <c r="V65" s="277"/>
      <c r="W65" s="277"/>
      <c r="X65" s="277"/>
      <c r="Y65" s="277"/>
      <c r="Z65" s="277"/>
      <c r="AA65" s="277"/>
      <c r="AB65" s="277"/>
    </row>
    <row r="66" spans="2:28" s="55" customFormat="1" hidden="1" x14ac:dyDescent="0.2">
      <c r="B66" s="549" t="s">
        <v>16</v>
      </c>
      <c r="C66" s="550" t="s">
        <v>369</v>
      </c>
      <c r="D66" s="550" t="s">
        <v>367</v>
      </c>
      <c r="Q66" s="277"/>
      <c r="R66" s="277"/>
      <c r="S66" s="277"/>
      <c r="T66" s="277"/>
      <c r="U66" s="277"/>
      <c r="V66" s="277"/>
      <c r="W66" s="277"/>
      <c r="X66" s="277"/>
      <c r="Y66" s="277"/>
      <c r="Z66" s="277"/>
      <c r="AA66" s="277"/>
      <c r="AB66" s="277"/>
    </row>
    <row r="67" spans="2:28" s="55" customFormat="1" hidden="1" x14ac:dyDescent="0.2">
      <c r="B67" s="549" t="s">
        <v>17</v>
      </c>
      <c r="C67" s="550" t="s">
        <v>366</v>
      </c>
      <c r="D67" s="550" t="s">
        <v>370</v>
      </c>
      <c r="Q67" s="277"/>
      <c r="R67" s="277"/>
      <c r="S67" s="277"/>
      <c r="T67" s="277"/>
      <c r="U67" s="277"/>
      <c r="V67" s="277"/>
      <c r="W67" s="277"/>
      <c r="X67" s="277"/>
      <c r="Y67" s="277"/>
      <c r="Z67" s="277"/>
      <c r="AA67" s="277"/>
      <c r="AB67" s="277"/>
    </row>
    <row r="68" spans="2:28" s="55" customFormat="1" hidden="1" x14ac:dyDescent="0.2">
      <c r="B68" s="549" t="s">
        <v>18</v>
      </c>
      <c r="C68" s="550" t="s">
        <v>368</v>
      </c>
      <c r="D68" s="550" t="s">
        <v>371</v>
      </c>
      <c r="Q68" s="277"/>
      <c r="R68" s="277"/>
      <c r="S68" s="277"/>
      <c r="T68" s="277"/>
      <c r="U68" s="277"/>
      <c r="V68" s="277"/>
      <c r="W68" s="277"/>
      <c r="X68" s="277"/>
      <c r="Y68" s="277"/>
      <c r="Z68" s="277"/>
      <c r="AA68" s="277"/>
      <c r="AB68" s="277"/>
    </row>
    <row r="69" spans="2:28" s="55" customFormat="1" x14ac:dyDescent="0.2">
      <c r="B69" s="551"/>
      <c r="C69" s="527"/>
      <c r="D69" s="527"/>
      <c r="Q69" s="277"/>
      <c r="R69" s="277"/>
      <c r="S69" s="277"/>
      <c r="T69" s="277"/>
      <c r="U69" s="277"/>
      <c r="V69" s="277"/>
      <c r="W69" s="277"/>
      <c r="X69" s="277"/>
      <c r="Y69" s="277"/>
      <c r="Z69" s="277"/>
      <c r="AA69" s="277"/>
      <c r="AB69" s="277"/>
    </row>
    <row r="70" spans="2:28" s="55" customFormat="1" x14ac:dyDescent="0.2">
      <c r="B70" s="549" t="s">
        <v>16</v>
      </c>
      <c r="C70" s="550" t="s">
        <v>372</v>
      </c>
      <c r="D70" s="550" t="s">
        <v>370</v>
      </c>
      <c r="Q70" s="277"/>
      <c r="R70" s="277"/>
      <c r="S70" s="277"/>
      <c r="T70" s="277"/>
      <c r="U70" s="277"/>
      <c r="V70" s="277"/>
      <c r="W70" s="277"/>
      <c r="X70" s="277"/>
      <c r="Y70" s="277"/>
      <c r="Z70" s="277"/>
      <c r="AA70" s="277"/>
      <c r="AB70" s="277"/>
    </row>
    <row r="71" spans="2:28" s="55" customFormat="1" x14ac:dyDescent="0.2">
      <c r="B71" s="549" t="s">
        <v>17</v>
      </c>
      <c r="C71" s="550" t="s">
        <v>366</v>
      </c>
      <c r="D71" s="550" t="s">
        <v>373</v>
      </c>
      <c r="Q71" s="277"/>
      <c r="R71" s="277"/>
      <c r="S71" s="277"/>
      <c r="T71" s="277"/>
      <c r="U71" s="277"/>
      <c r="V71" s="277"/>
      <c r="W71" s="277"/>
      <c r="X71" s="277"/>
      <c r="Y71" s="277"/>
      <c r="Z71" s="277"/>
      <c r="AA71" s="277"/>
      <c r="AB71" s="277"/>
    </row>
    <row r="72" spans="2:28" s="55" customFormat="1" x14ac:dyDescent="0.2">
      <c r="B72" s="549" t="s">
        <v>18</v>
      </c>
      <c r="C72" s="550" t="s">
        <v>374</v>
      </c>
      <c r="D72" s="550" t="s">
        <v>371</v>
      </c>
      <c r="Q72" s="277"/>
      <c r="R72" s="277"/>
      <c r="S72" s="277"/>
      <c r="T72" s="277"/>
      <c r="U72" s="277"/>
      <c r="V72" s="277"/>
      <c r="W72" s="277"/>
      <c r="X72" s="277"/>
      <c r="Y72" s="277"/>
      <c r="Z72" s="277"/>
      <c r="AA72" s="277"/>
      <c r="AB72" s="277"/>
    </row>
    <row r="73" spans="2:28" s="55" customFormat="1" x14ac:dyDescent="0.2">
      <c r="B73" s="549" t="s">
        <v>19</v>
      </c>
      <c r="C73" s="550" t="s">
        <v>375</v>
      </c>
      <c r="D73" s="550" t="s">
        <v>376</v>
      </c>
      <c r="Q73" s="277"/>
      <c r="R73" s="277"/>
      <c r="S73" s="277"/>
      <c r="T73" s="277"/>
      <c r="U73" s="277"/>
      <c r="V73" s="277"/>
      <c r="W73" s="277"/>
      <c r="X73" s="277"/>
      <c r="Y73" s="277"/>
      <c r="Z73" s="277"/>
      <c r="AA73" s="277"/>
      <c r="AB73" s="277"/>
    </row>
    <row r="74" spans="2:28" s="55" customFormat="1" x14ac:dyDescent="0.2">
      <c r="B74" s="549" t="s">
        <v>20</v>
      </c>
      <c r="C74" s="550" t="s">
        <v>367</v>
      </c>
      <c r="D74" s="550" t="s">
        <v>369</v>
      </c>
      <c r="Q74" s="277"/>
      <c r="R74" s="277"/>
      <c r="S74" s="277"/>
      <c r="T74" s="277"/>
      <c r="U74" s="277"/>
      <c r="V74" s="277"/>
      <c r="W74" s="277"/>
      <c r="X74" s="277"/>
      <c r="Y74" s="277"/>
      <c r="Z74" s="277"/>
      <c r="AA74" s="277"/>
      <c r="AB74" s="277"/>
    </row>
    <row r="75" spans="2:28" s="55" customFormat="1" hidden="1" x14ac:dyDescent="0.2">
      <c r="Q75" s="277"/>
      <c r="R75" s="277"/>
      <c r="S75" s="277"/>
      <c r="T75" s="277"/>
      <c r="U75" s="277"/>
      <c r="V75" s="277"/>
      <c r="W75" s="277"/>
      <c r="X75" s="277"/>
      <c r="Y75" s="277"/>
      <c r="Z75" s="277"/>
      <c r="AA75" s="277"/>
      <c r="AB75" s="277"/>
    </row>
    <row r="76" spans="2:28" s="55" customFormat="1" hidden="1" x14ac:dyDescent="0.2">
      <c r="Q76" s="277"/>
      <c r="R76" s="277"/>
      <c r="S76" s="277"/>
      <c r="T76" s="277"/>
      <c r="U76" s="277"/>
      <c r="V76" s="277"/>
      <c r="W76" s="277"/>
      <c r="X76" s="277"/>
      <c r="Y76" s="277"/>
      <c r="Z76" s="277"/>
      <c r="AA76" s="277"/>
      <c r="AB76" s="277"/>
    </row>
    <row r="77" spans="2:28" s="55" customFormat="1" hidden="1" x14ac:dyDescent="0.2">
      <c r="Q77" s="277"/>
      <c r="R77" s="277"/>
      <c r="S77" s="277"/>
      <c r="T77" s="277"/>
      <c r="U77" s="277"/>
      <c r="V77" s="277"/>
      <c r="W77" s="277"/>
      <c r="X77" s="277"/>
      <c r="Y77" s="277"/>
      <c r="Z77" s="277"/>
      <c r="AA77" s="277"/>
      <c r="AB77" s="277"/>
    </row>
    <row r="78" spans="2:28" s="55" customFormat="1" hidden="1" x14ac:dyDescent="0.2">
      <c r="Q78" s="277"/>
      <c r="R78" s="277"/>
      <c r="S78" s="277"/>
      <c r="T78" s="277"/>
      <c r="U78" s="277"/>
      <c r="V78" s="277"/>
      <c r="W78" s="277"/>
      <c r="X78" s="277"/>
      <c r="Y78" s="277"/>
      <c r="Z78" s="277"/>
      <c r="AA78" s="277"/>
      <c r="AB78" s="277"/>
    </row>
    <row r="79" spans="2:28" s="55" customFormat="1" hidden="1" x14ac:dyDescent="0.2">
      <c r="Q79" s="277"/>
      <c r="R79" s="277"/>
      <c r="S79" s="277"/>
      <c r="T79" s="277"/>
      <c r="U79" s="277"/>
      <c r="V79" s="277"/>
      <c r="W79" s="277"/>
      <c r="X79" s="277"/>
      <c r="Y79" s="277"/>
      <c r="Z79" s="277"/>
      <c r="AA79" s="277"/>
      <c r="AB79" s="277"/>
    </row>
    <row r="80" spans="2:28" s="55" customFormat="1" hidden="1" x14ac:dyDescent="0.2">
      <c r="Q80" s="277"/>
      <c r="R80" s="277"/>
      <c r="S80" s="277"/>
      <c r="T80" s="277"/>
      <c r="U80" s="277"/>
      <c r="V80" s="277"/>
      <c r="W80" s="277"/>
      <c r="X80" s="277"/>
      <c r="Y80" s="277"/>
      <c r="Z80" s="277"/>
      <c r="AA80" s="277"/>
      <c r="AB80" s="277"/>
    </row>
    <row r="81" spans="1:28" s="55" customFormat="1" hidden="1" x14ac:dyDescent="0.2">
      <c r="Q81" s="277"/>
      <c r="R81" s="277"/>
      <c r="S81" s="277"/>
      <c r="T81" s="277"/>
      <c r="U81" s="277"/>
      <c r="V81" s="277"/>
      <c r="W81" s="277"/>
      <c r="X81" s="277"/>
      <c r="Y81" s="277"/>
      <c r="Z81" s="277"/>
      <c r="AA81" s="277"/>
      <c r="AB81" s="277"/>
    </row>
    <row r="82" spans="1:28" s="55" customFormat="1" hidden="1" x14ac:dyDescent="0.2">
      <c r="Q82" s="277"/>
      <c r="R82" s="277"/>
      <c r="S82" s="277"/>
      <c r="T82" s="277"/>
      <c r="U82" s="277"/>
      <c r="V82" s="277"/>
      <c r="W82" s="277"/>
      <c r="X82" s="277"/>
      <c r="Y82" s="277"/>
      <c r="Z82" s="277"/>
      <c r="AA82" s="277"/>
      <c r="AB82" s="277"/>
    </row>
    <row r="83" spans="1:28" s="55" customFormat="1" hidden="1" x14ac:dyDescent="0.2">
      <c r="Q83" s="277"/>
      <c r="R83" s="277"/>
      <c r="S83" s="277"/>
      <c r="T83" s="277"/>
      <c r="U83" s="277"/>
      <c r="V83" s="277"/>
      <c r="W83" s="277"/>
      <c r="X83" s="277"/>
      <c r="Y83" s="277"/>
      <c r="Z83" s="277"/>
      <c r="AA83" s="277"/>
      <c r="AB83" s="277"/>
    </row>
    <row r="84" spans="1:28" s="55" customFormat="1" hidden="1" x14ac:dyDescent="0.2">
      <c r="Q84" s="277"/>
      <c r="R84" s="277"/>
      <c r="S84" s="277"/>
      <c r="T84" s="277"/>
      <c r="U84" s="277"/>
      <c r="V84" s="277"/>
      <c r="W84" s="277"/>
      <c r="X84" s="277"/>
      <c r="Y84" s="277"/>
      <c r="Z84" s="277"/>
      <c r="AA84" s="277"/>
      <c r="AB84" s="277"/>
    </row>
    <row r="85" spans="1:28" s="55" customFormat="1" hidden="1" x14ac:dyDescent="0.2">
      <c r="Q85" s="277"/>
      <c r="R85" s="277"/>
      <c r="S85" s="277"/>
      <c r="T85" s="277"/>
      <c r="U85" s="277"/>
      <c r="V85" s="277"/>
      <c r="W85" s="277"/>
      <c r="X85" s="277"/>
      <c r="Y85" s="277"/>
      <c r="Z85" s="277"/>
      <c r="AA85" s="277"/>
      <c r="AB85" s="277"/>
    </row>
    <row r="86" spans="1:28" s="55" customFormat="1" hidden="1" x14ac:dyDescent="0.2">
      <c r="Q86" s="277"/>
      <c r="R86" s="277"/>
      <c r="S86" s="277"/>
      <c r="T86" s="277"/>
      <c r="U86" s="277"/>
      <c r="V86" s="277"/>
      <c r="W86" s="277"/>
      <c r="X86" s="277"/>
      <c r="Y86" s="277"/>
      <c r="Z86" s="277"/>
      <c r="AA86" s="277"/>
      <c r="AB86" s="277"/>
    </row>
    <row r="87" spans="1:28" s="55" customFormat="1" hidden="1" x14ac:dyDescent="0.2">
      <c r="Q87" s="277"/>
      <c r="R87" s="277"/>
      <c r="S87" s="277"/>
      <c r="T87" s="277"/>
      <c r="U87" s="277"/>
      <c r="V87" s="277"/>
      <c r="W87" s="277"/>
      <c r="X87" s="277"/>
      <c r="Y87" s="277"/>
      <c r="Z87" s="277"/>
      <c r="AA87" s="277"/>
      <c r="AB87" s="277"/>
    </row>
    <row r="88" spans="1:28" s="55" customFormat="1" hidden="1" x14ac:dyDescent="0.2">
      <c r="Q88" s="277"/>
      <c r="R88" s="277"/>
      <c r="S88" s="277"/>
      <c r="T88" s="277"/>
      <c r="U88" s="277"/>
      <c r="V88" s="277"/>
      <c r="W88" s="277"/>
      <c r="X88" s="277"/>
      <c r="Y88" s="277"/>
      <c r="Z88" s="277"/>
      <c r="AA88" s="277"/>
      <c r="AB88" s="277"/>
    </row>
    <row r="89" spans="1:28" s="55" customFormat="1" hidden="1" x14ac:dyDescent="0.2">
      <c r="Q89" s="277"/>
      <c r="R89" s="277"/>
      <c r="S89" s="277"/>
      <c r="T89" s="277"/>
      <c r="U89" s="277"/>
      <c r="V89" s="277"/>
      <c r="W89" s="277"/>
      <c r="X89" s="277"/>
      <c r="Y89" s="277"/>
      <c r="Z89" s="277"/>
      <c r="AA89" s="277"/>
      <c r="AB89" s="277"/>
    </row>
    <row r="90" spans="1:28" s="55" customFormat="1" hidden="1" x14ac:dyDescent="0.2">
      <c r="Q90" s="277"/>
      <c r="R90" s="277"/>
      <c r="S90" s="277"/>
      <c r="T90" s="277"/>
      <c r="U90" s="277"/>
      <c r="V90" s="277"/>
      <c r="W90" s="277"/>
      <c r="X90" s="277"/>
      <c r="Y90" s="277"/>
      <c r="Z90" s="277"/>
      <c r="AA90" s="277"/>
      <c r="AB90" s="277"/>
    </row>
    <row r="91" spans="1:28" s="55" customFormat="1" hidden="1" x14ac:dyDescent="0.2">
      <c r="Q91" s="277"/>
      <c r="R91" s="277"/>
      <c r="S91" s="277"/>
      <c r="T91" s="277"/>
      <c r="U91" s="277"/>
      <c r="V91" s="277"/>
      <c r="W91" s="277"/>
      <c r="X91" s="277"/>
      <c r="Y91" s="277"/>
      <c r="Z91" s="277"/>
      <c r="AA91" s="277"/>
      <c r="AB91" s="277"/>
    </row>
    <row r="92" spans="1:28" s="55" customFormat="1" hidden="1" x14ac:dyDescent="0.2">
      <c r="Q92" s="277"/>
      <c r="R92" s="277"/>
      <c r="S92" s="277"/>
      <c r="T92" s="277"/>
      <c r="U92" s="277"/>
      <c r="V92" s="277"/>
      <c r="W92" s="277"/>
      <c r="X92" s="277"/>
      <c r="Y92" s="277"/>
      <c r="Z92" s="277"/>
      <c r="AA92" s="277"/>
      <c r="AB92" s="277"/>
    </row>
    <row r="93" spans="1:28" s="55" customFormat="1" hidden="1" x14ac:dyDescent="0.2">
      <c r="Q93" s="277"/>
      <c r="R93" s="277"/>
      <c r="S93" s="277"/>
      <c r="T93" s="277"/>
      <c r="U93" s="277"/>
      <c r="V93" s="277"/>
      <c r="W93" s="277"/>
      <c r="X93" s="277"/>
      <c r="Y93" s="277"/>
      <c r="Z93" s="277"/>
      <c r="AA93" s="277"/>
      <c r="AB93" s="277"/>
    </row>
    <row r="94" spans="1:28" s="55" customFormat="1" hidden="1" x14ac:dyDescent="0.2">
      <c r="Q94" s="277"/>
      <c r="R94" s="277"/>
      <c r="S94" s="277"/>
      <c r="T94" s="277"/>
      <c r="U94" s="277"/>
      <c r="V94" s="277"/>
      <c r="W94" s="277"/>
      <c r="X94" s="277"/>
      <c r="Y94" s="277"/>
      <c r="Z94" s="277"/>
      <c r="AA94" s="277"/>
      <c r="AB94" s="277"/>
    </row>
    <row r="95" spans="1:28" s="552" customFormat="1" hidden="1" x14ac:dyDescent="0.2">
      <c r="A95" s="55"/>
      <c r="E95" s="55"/>
      <c r="F95" s="55"/>
      <c r="G95" s="55"/>
      <c r="H95" s="55"/>
      <c r="I95" s="55"/>
      <c r="J95" s="55"/>
      <c r="K95" s="55"/>
      <c r="L95" s="55"/>
      <c r="M95" s="55"/>
      <c r="N95" s="55"/>
      <c r="O95" s="55"/>
      <c r="Q95" s="277"/>
      <c r="R95" s="277"/>
      <c r="S95" s="277"/>
      <c r="T95" s="277"/>
      <c r="U95" s="277"/>
      <c r="V95" s="277"/>
      <c r="W95" s="277"/>
      <c r="X95" s="277"/>
      <c r="Y95" s="277"/>
      <c r="Z95" s="277"/>
      <c r="AA95" s="277"/>
      <c r="AB95" s="277"/>
    </row>
    <row r="96" spans="1:28" hidden="1" x14ac:dyDescent="0.2">
      <c r="A96" s="55"/>
      <c r="E96" s="55"/>
      <c r="F96" s="55"/>
      <c r="G96" s="55"/>
      <c r="H96" s="55"/>
      <c r="I96" s="55"/>
      <c r="J96" s="55"/>
      <c r="K96" s="55"/>
      <c r="L96" s="55"/>
      <c r="M96" s="55"/>
      <c r="N96" s="55"/>
      <c r="O96" s="55"/>
    </row>
    <row r="97" spans="1:15" hidden="1" x14ac:dyDescent="0.2">
      <c r="A97" s="55"/>
      <c r="E97" s="55"/>
      <c r="F97" s="55"/>
      <c r="G97" s="55"/>
      <c r="H97" s="55"/>
      <c r="I97" s="55"/>
      <c r="J97" s="55"/>
      <c r="K97" s="55"/>
      <c r="L97" s="55"/>
      <c r="M97" s="55"/>
      <c r="N97" s="55"/>
      <c r="O97" s="55"/>
    </row>
    <row r="98" spans="1:15" hidden="1" x14ac:dyDescent="0.2">
      <c r="A98" s="55"/>
      <c r="B98" s="55"/>
      <c r="C98" s="55"/>
      <c r="D98" s="55"/>
      <c r="E98" s="55"/>
      <c r="F98" s="55"/>
      <c r="G98" s="55"/>
      <c r="H98" s="55"/>
      <c r="I98" s="55"/>
      <c r="J98" s="55"/>
      <c r="K98" s="55"/>
      <c r="L98" s="55"/>
      <c r="M98" s="55"/>
      <c r="N98" s="55"/>
      <c r="O98" s="55"/>
    </row>
    <row r="99" spans="1:15" x14ac:dyDescent="0.2">
      <c r="A99" s="55"/>
      <c r="B99" s="55"/>
      <c r="C99" s="55"/>
      <c r="D99" s="55"/>
      <c r="E99" s="55"/>
      <c r="F99" s="55"/>
      <c r="G99" s="55"/>
      <c r="H99" s="55"/>
      <c r="I99" s="55"/>
      <c r="J99" s="55"/>
      <c r="K99" s="55"/>
      <c r="L99" s="55"/>
      <c r="M99" s="55"/>
      <c r="N99" s="55"/>
      <c r="O99" s="55"/>
    </row>
    <row r="100" spans="1:15" x14ac:dyDescent="0.2">
      <c r="A100" s="553" t="s">
        <v>669</v>
      </c>
      <c r="B100" s="554"/>
      <c r="C100" s="525"/>
      <c r="D100" s="525"/>
      <c r="E100" s="525"/>
      <c r="F100" s="527"/>
      <c r="G100" s="550"/>
      <c r="H100" s="55"/>
      <c r="I100" s="55"/>
      <c r="J100" s="55"/>
      <c r="K100" s="55"/>
      <c r="L100" s="55"/>
      <c r="M100" s="55"/>
      <c r="N100" s="55"/>
      <c r="O100" s="55"/>
    </row>
    <row r="101" spans="1:15" x14ac:dyDescent="0.2">
      <c r="A101" s="55"/>
      <c r="B101" s="55"/>
      <c r="C101" s="55"/>
      <c r="D101" s="55"/>
      <c r="E101" s="55"/>
      <c r="F101" s="55"/>
      <c r="G101" s="55"/>
      <c r="H101" s="55"/>
      <c r="I101" s="55"/>
      <c r="J101" s="55"/>
      <c r="K101" s="55"/>
      <c r="L101" s="55"/>
      <c r="M101" s="55"/>
      <c r="N101" s="55"/>
      <c r="O101" s="55"/>
    </row>
    <row r="102" spans="1:15" ht="13.5" thickBot="1" x14ac:dyDescent="0.25">
      <c r="A102" s="55"/>
      <c r="B102" s="55"/>
      <c r="C102" s="55"/>
      <c r="D102" s="55"/>
      <c r="E102" s="55"/>
      <c r="F102" s="55"/>
      <c r="G102" s="55"/>
      <c r="H102" s="556" t="str">
        <f>IFERROR(INDEX(B$1:B$100,MATCH("1",I$1:I$100,0)),"")</f>
        <v>Elmo Lageda, Tõnu Piik, Ülo Piik</v>
      </c>
      <c r="I102" s="55"/>
      <c r="J102" s="55"/>
      <c r="K102" s="55"/>
      <c r="L102" s="55"/>
      <c r="M102" s="55"/>
      <c r="N102" s="55"/>
      <c r="O102" s="55"/>
    </row>
    <row r="103" spans="1:15" x14ac:dyDescent="0.2">
      <c r="A103" s="55"/>
      <c r="B103" s="55"/>
      <c r="C103" s="55"/>
      <c r="D103" s="55"/>
      <c r="E103" s="55"/>
      <c r="F103" s="55"/>
      <c r="G103" s="55"/>
      <c r="H103" s="569" t="s">
        <v>383</v>
      </c>
      <c r="I103" s="570"/>
      <c r="J103" s="55"/>
      <c r="K103" s="55"/>
      <c r="L103" s="55"/>
      <c r="M103" s="55"/>
      <c r="N103" s="55"/>
      <c r="O103" s="55"/>
    </row>
    <row r="104" spans="1:15" x14ac:dyDescent="0.2">
      <c r="A104" s="55"/>
      <c r="B104" s="55"/>
      <c r="C104" s="55"/>
      <c r="D104" s="55"/>
      <c r="E104" s="55"/>
      <c r="F104" s="55"/>
      <c r="G104" s="55"/>
      <c r="H104" s="55"/>
      <c r="I104" s="55"/>
      <c r="J104" s="55"/>
      <c r="K104" s="55"/>
      <c r="L104" s="55"/>
      <c r="M104" s="55"/>
      <c r="N104" s="55"/>
      <c r="O104" s="55"/>
    </row>
    <row r="105" spans="1:15" ht="13.5" thickBot="1" x14ac:dyDescent="0.25">
      <c r="A105" s="55"/>
      <c r="B105" s="55"/>
      <c r="C105" s="55"/>
      <c r="D105" s="55"/>
      <c r="E105" s="55"/>
      <c r="F105" s="55"/>
      <c r="H105" s="556" t="str">
        <f>IFERROR(INDEX(B$1:B$100,MATCH("2",I$1:I$100,0)),"")</f>
        <v>Aarne Välja, Janek Tarto, Romek Tarto</v>
      </c>
      <c r="I105" s="571"/>
      <c r="J105" s="55"/>
      <c r="K105" s="55"/>
      <c r="L105" s="55"/>
      <c r="M105" s="55"/>
      <c r="N105" s="55"/>
      <c r="O105" s="55"/>
    </row>
    <row r="106" spans="1:15" x14ac:dyDescent="0.2">
      <c r="A106" s="55"/>
      <c r="B106" s="55"/>
      <c r="C106" s="55"/>
      <c r="D106" s="55"/>
      <c r="E106" s="55"/>
      <c r="F106" s="55"/>
      <c r="H106" s="569" t="s">
        <v>386</v>
      </c>
      <c r="I106" s="554"/>
      <c r="J106" s="55"/>
      <c r="K106" s="55"/>
      <c r="L106" s="55"/>
      <c r="M106" s="55"/>
      <c r="N106" s="55"/>
      <c r="O106" s="55"/>
    </row>
    <row r="107" spans="1:15" x14ac:dyDescent="0.2">
      <c r="A107" s="55"/>
      <c r="B107" s="55"/>
      <c r="C107" s="55"/>
      <c r="D107" s="55"/>
      <c r="E107" s="55"/>
      <c r="F107" s="55"/>
      <c r="H107" s="55"/>
      <c r="I107" s="55"/>
      <c r="J107" s="55"/>
      <c r="K107" s="55"/>
      <c r="L107" s="55"/>
      <c r="M107" s="55"/>
      <c r="N107" s="55"/>
      <c r="O107" s="55"/>
    </row>
    <row r="108" spans="1:15" ht="13.5" thickBot="1" x14ac:dyDescent="0.25">
      <c r="A108" s="55"/>
      <c r="B108" s="55"/>
      <c r="C108" s="55"/>
      <c r="D108" s="55"/>
      <c r="E108" s="55"/>
      <c r="F108" s="55"/>
      <c r="H108" s="556" t="str">
        <f>IFERROR(INDEX(B$1:B$100,MATCH("3",I$1:I$100,0)),"")</f>
        <v>Ivar Viljaste, Kristo Viljaste, Matti Vinni</v>
      </c>
      <c r="I108" s="554"/>
      <c r="J108" s="55"/>
      <c r="K108" s="55"/>
      <c r="L108" s="55"/>
      <c r="M108" s="55"/>
      <c r="N108" s="55"/>
      <c r="O108" s="55"/>
    </row>
    <row r="109" spans="1:15" x14ac:dyDescent="0.2">
      <c r="A109" s="55"/>
      <c r="B109" s="55"/>
      <c r="C109" s="55"/>
      <c r="D109" s="55"/>
      <c r="E109" s="55"/>
      <c r="F109" s="55"/>
      <c r="H109" s="569" t="s">
        <v>388</v>
      </c>
      <c r="I109" s="570"/>
      <c r="J109" s="55"/>
      <c r="K109" s="55"/>
      <c r="L109" s="55"/>
      <c r="M109" s="55"/>
      <c r="N109" s="55"/>
      <c r="O109" s="55"/>
    </row>
    <row r="110" spans="1:15" x14ac:dyDescent="0.2">
      <c r="A110" s="55"/>
      <c r="B110" s="55"/>
      <c r="C110" s="55"/>
      <c r="D110" s="55"/>
      <c r="E110" s="55"/>
      <c r="F110" s="55"/>
      <c r="H110" s="554"/>
      <c r="I110" s="554"/>
      <c r="J110" s="55"/>
      <c r="K110" s="55"/>
      <c r="L110" s="55"/>
      <c r="M110" s="55"/>
      <c r="N110" s="55"/>
      <c r="O110" s="55"/>
    </row>
    <row r="111" spans="1:15" ht="13.5" thickBot="1" x14ac:dyDescent="0.25">
      <c r="A111" s="55"/>
      <c r="B111" s="55"/>
      <c r="C111" s="55"/>
      <c r="D111" s="55"/>
      <c r="E111" s="55"/>
      <c r="F111" s="55"/>
      <c r="H111" s="606" t="str">
        <f>IFERROR(INDEX(B$1:B$100,MATCH("4",I$1:I$100,0)),"")</f>
        <v>Jaan Sepp, Mait Metsla, Oskar Sepp</v>
      </c>
      <c r="I111" s="571"/>
      <c r="J111" s="55"/>
      <c r="K111" s="55"/>
      <c r="L111" s="55"/>
      <c r="M111" s="55"/>
      <c r="N111" s="55"/>
      <c r="O111" s="55"/>
    </row>
    <row r="112" spans="1:15" x14ac:dyDescent="0.2">
      <c r="A112" s="55"/>
      <c r="B112" s="55"/>
      <c r="C112" s="55"/>
      <c r="D112" s="55"/>
      <c r="E112" s="55"/>
      <c r="F112" s="55"/>
      <c r="H112" s="538" t="s">
        <v>389</v>
      </c>
      <c r="I112" s="55"/>
      <c r="J112" s="55"/>
      <c r="K112" s="55"/>
      <c r="L112" s="55"/>
      <c r="M112" s="55"/>
      <c r="N112" s="55"/>
      <c r="O112" s="55"/>
    </row>
    <row r="113" spans="1:15" x14ac:dyDescent="0.2">
      <c r="A113" s="55"/>
      <c r="B113" s="55"/>
      <c r="C113" s="55"/>
      <c r="D113" s="55"/>
      <c r="E113" s="55"/>
      <c r="F113" s="55"/>
      <c r="J113" s="55"/>
      <c r="K113" s="55"/>
      <c r="L113" s="55"/>
      <c r="M113" s="55"/>
      <c r="N113" s="55"/>
      <c r="O113" s="55"/>
    </row>
    <row r="114" spans="1:15" ht="13.5" thickBot="1" x14ac:dyDescent="0.25">
      <c r="A114" s="55"/>
      <c r="B114" s="55"/>
      <c r="C114" s="55"/>
      <c r="D114" s="55"/>
      <c r="E114" s="55"/>
      <c r="F114" s="55"/>
      <c r="H114" s="606" t="str">
        <f>IFERROR(INDEX(B$1:B$100,MATCH("5",I$1:I$100,0)),"")</f>
        <v>Boriss Klubov, Emil Murzajev, Lemmit Toomra</v>
      </c>
      <c r="I114" s="571"/>
      <c r="J114" s="55"/>
      <c r="K114" s="55"/>
      <c r="L114" s="55"/>
      <c r="M114" s="55"/>
      <c r="N114" s="55"/>
      <c r="O114" s="55"/>
    </row>
    <row r="115" spans="1:15" x14ac:dyDescent="0.2">
      <c r="A115" s="55"/>
      <c r="B115" s="55"/>
      <c r="C115" s="55"/>
      <c r="D115" s="55"/>
      <c r="E115" s="55"/>
      <c r="F115" s="55"/>
      <c r="H115" s="538" t="s">
        <v>390</v>
      </c>
      <c r="I115" s="55"/>
      <c r="J115" s="55"/>
      <c r="K115" s="55"/>
      <c r="L115" s="55"/>
      <c r="M115" s="55"/>
      <c r="N115" s="55"/>
      <c r="O115" s="55"/>
    </row>
    <row r="116" spans="1:15" hidden="1" x14ac:dyDescent="0.2">
      <c r="A116" s="55"/>
      <c r="B116" s="55"/>
      <c r="C116" s="55"/>
      <c r="D116" s="55"/>
      <c r="E116" s="55"/>
      <c r="F116" s="55"/>
      <c r="J116" s="55"/>
      <c r="K116" s="55"/>
      <c r="L116" s="55"/>
      <c r="M116" s="55"/>
      <c r="N116" s="55"/>
      <c r="O116" s="55"/>
    </row>
    <row r="117" spans="1:15" hidden="1" x14ac:dyDescent="0.2">
      <c r="A117" s="55"/>
      <c r="B117" s="55"/>
      <c r="C117" s="55"/>
      <c r="D117" s="55"/>
      <c r="E117" s="55"/>
      <c r="F117" s="55"/>
      <c r="J117" s="55"/>
      <c r="K117" s="55"/>
      <c r="L117" s="55"/>
      <c r="M117" s="55"/>
      <c r="N117" s="55"/>
      <c r="O117" s="55"/>
    </row>
    <row r="118" spans="1:15" hidden="1" x14ac:dyDescent="0.2">
      <c r="A118" s="55"/>
      <c r="B118" s="55"/>
      <c r="C118" s="55"/>
      <c r="D118" s="55"/>
      <c r="E118" s="55"/>
      <c r="F118" s="55"/>
      <c r="J118" s="55"/>
      <c r="K118" s="55"/>
      <c r="L118" s="55"/>
      <c r="M118" s="55"/>
      <c r="N118" s="55"/>
      <c r="O118" s="55"/>
    </row>
    <row r="119" spans="1:15" hidden="1" x14ac:dyDescent="0.2">
      <c r="A119" s="55"/>
      <c r="B119" s="55"/>
      <c r="C119" s="55"/>
      <c r="D119" s="55"/>
      <c r="E119" s="55"/>
      <c r="F119" s="55"/>
      <c r="J119" s="55"/>
      <c r="K119" s="55"/>
      <c r="L119" s="55"/>
      <c r="M119" s="55"/>
      <c r="N119" s="55"/>
      <c r="O119" s="55"/>
    </row>
    <row r="120" spans="1:15" hidden="1" x14ac:dyDescent="0.2">
      <c r="A120" s="55"/>
      <c r="B120" s="55"/>
      <c r="C120" s="55"/>
      <c r="D120" s="55"/>
      <c r="E120" s="55"/>
      <c r="F120" s="55"/>
      <c r="J120" s="55"/>
      <c r="K120" s="55"/>
      <c r="L120" s="55"/>
      <c r="M120" s="55"/>
      <c r="N120" s="55"/>
      <c r="O120" s="55"/>
    </row>
    <row r="121" spans="1:15" hidden="1" x14ac:dyDescent="0.2">
      <c r="A121" s="55"/>
      <c r="B121" s="55"/>
      <c r="C121" s="55"/>
      <c r="D121" s="55"/>
      <c r="E121" s="55"/>
      <c r="F121" s="55"/>
      <c r="J121" s="55"/>
      <c r="K121" s="55"/>
      <c r="L121" s="55"/>
      <c r="M121" s="55"/>
      <c r="N121" s="55"/>
      <c r="O121" s="55"/>
    </row>
    <row r="122" spans="1:15" hidden="1" x14ac:dyDescent="0.2">
      <c r="A122" s="55"/>
      <c r="B122" s="55"/>
      <c r="C122" s="55"/>
      <c r="D122" s="55"/>
      <c r="E122" s="55"/>
      <c r="F122" s="55"/>
      <c r="J122" s="55"/>
      <c r="K122" s="55"/>
      <c r="L122" s="55"/>
      <c r="M122" s="55"/>
      <c r="N122" s="55"/>
      <c r="O122" s="55"/>
    </row>
    <row r="123" spans="1:15" hidden="1" x14ac:dyDescent="0.2">
      <c r="A123" s="55"/>
      <c r="B123" s="55"/>
      <c r="C123" s="55"/>
      <c r="D123" s="55"/>
      <c r="E123" s="55"/>
      <c r="F123" s="55"/>
      <c r="H123" s="55"/>
      <c r="I123" s="55"/>
      <c r="J123" s="55"/>
      <c r="K123" s="55"/>
      <c r="L123" s="55"/>
      <c r="M123" s="55"/>
      <c r="N123" s="55"/>
      <c r="O123" s="55"/>
    </row>
    <row r="124" spans="1:15" hidden="1" x14ac:dyDescent="0.2">
      <c r="A124" s="55"/>
      <c r="B124" s="55"/>
      <c r="C124" s="55"/>
      <c r="D124" s="55"/>
      <c r="E124" s="55"/>
      <c r="F124" s="55"/>
      <c r="H124" s="55"/>
      <c r="I124" s="55"/>
      <c r="J124" s="55"/>
      <c r="K124" s="55"/>
      <c r="L124" s="55"/>
      <c r="M124" s="55"/>
      <c r="N124" s="55"/>
      <c r="O124" s="55"/>
    </row>
    <row r="125" spans="1:15" hidden="1" x14ac:dyDescent="0.2">
      <c r="A125" s="55"/>
      <c r="B125" s="55"/>
      <c r="C125" s="55"/>
      <c r="D125" s="55"/>
      <c r="E125" s="55"/>
      <c r="F125" s="55"/>
      <c r="G125" s="55"/>
      <c r="H125" s="55"/>
      <c r="I125" s="55"/>
      <c r="J125" s="55"/>
      <c r="K125" s="55"/>
      <c r="L125" s="55"/>
      <c r="M125" s="55"/>
      <c r="N125" s="55"/>
      <c r="O125" s="55"/>
    </row>
    <row r="126" spans="1:15" hidden="1" x14ac:dyDescent="0.2">
      <c r="A126" s="55"/>
      <c r="B126" s="55"/>
      <c r="C126" s="55"/>
      <c r="D126" s="55"/>
      <c r="E126" s="55"/>
      <c r="F126" s="55"/>
      <c r="G126" s="55"/>
      <c r="H126" s="55"/>
      <c r="I126" s="55"/>
      <c r="J126" s="55"/>
      <c r="K126" s="55"/>
      <c r="L126" s="55"/>
      <c r="M126" s="55"/>
      <c r="N126" s="55"/>
      <c r="O126" s="55"/>
    </row>
    <row r="127" spans="1:15" hidden="1" x14ac:dyDescent="0.2">
      <c r="A127" s="55"/>
      <c r="B127" s="55"/>
      <c r="C127" s="55"/>
      <c r="D127" s="55"/>
      <c r="E127" s="55"/>
      <c r="F127" s="55"/>
      <c r="G127" s="55"/>
      <c r="H127" s="55"/>
      <c r="I127" s="55"/>
      <c r="J127" s="55"/>
      <c r="K127" s="55"/>
      <c r="L127" s="55"/>
      <c r="M127" s="55"/>
      <c r="N127" s="55"/>
      <c r="O127" s="55"/>
    </row>
    <row r="128" spans="1:15" hidden="1" x14ac:dyDescent="0.2">
      <c r="A128" s="55"/>
      <c r="B128" s="55"/>
      <c r="C128" s="55"/>
      <c r="D128" s="55"/>
      <c r="E128" s="55"/>
      <c r="F128" s="55"/>
      <c r="G128" s="55"/>
      <c r="H128" s="55"/>
      <c r="I128" s="55"/>
      <c r="J128" s="55"/>
      <c r="K128" s="55"/>
      <c r="L128" s="55"/>
      <c r="M128" s="55"/>
      <c r="N128" s="55"/>
      <c r="O128" s="55"/>
    </row>
    <row r="129" spans="1:15" hidden="1" x14ac:dyDescent="0.2">
      <c r="A129" s="55"/>
      <c r="B129" s="55"/>
      <c r="C129" s="55"/>
      <c r="D129" s="55"/>
      <c r="E129" s="55"/>
      <c r="F129" s="55"/>
      <c r="G129" s="55"/>
      <c r="H129" s="55"/>
      <c r="I129" s="55"/>
      <c r="J129" s="55"/>
      <c r="K129" s="55"/>
      <c r="L129" s="55"/>
      <c r="M129" s="55"/>
      <c r="N129" s="55"/>
      <c r="O129" s="55"/>
    </row>
    <row r="130" spans="1:15" hidden="1" x14ac:dyDescent="0.2">
      <c r="A130" s="55"/>
      <c r="B130" s="55"/>
      <c r="C130" s="55"/>
      <c r="D130" s="55"/>
      <c r="E130" s="55"/>
      <c r="F130" s="55"/>
      <c r="G130" s="55"/>
      <c r="H130" s="55"/>
      <c r="I130" s="55"/>
      <c r="J130" s="55"/>
      <c r="K130" s="55"/>
      <c r="L130" s="55"/>
      <c r="M130" s="55"/>
      <c r="N130" s="55"/>
      <c r="O130" s="55"/>
    </row>
    <row r="131" spans="1:15" hidden="1" x14ac:dyDescent="0.2">
      <c r="A131" s="55"/>
      <c r="B131" s="55"/>
      <c r="C131" s="55"/>
      <c r="D131" s="55"/>
      <c r="E131" s="55"/>
      <c r="F131" s="55"/>
      <c r="G131" s="55"/>
      <c r="H131" s="55"/>
      <c r="I131" s="55"/>
      <c r="J131" s="55"/>
    </row>
    <row r="132" spans="1:15" hidden="1" x14ac:dyDescent="0.2">
      <c r="A132" s="55"/>
      <c r="B132" s="55"/>
      <c r="C132" s="55"/>
      <c r="D132" s="55"/>
      <c r="E132" s="55"/>
      <c r="F132" s="55"/>
      <c r="G132" s="55"/>
      <c r="H132" s="55"/>
      <c r="I132" s="55"/>
      <c r="J132" s="55"/>
    </row>
    <row r="133" spans="1:15" hidden="1" x14ac:dyDescent="0.2">
      <c r="A133" s="55"/>
      <c r="B133" s="55"/>
      <c r="C133" s="55"/>
      <c r="D133" s="55"/>
      <c r="E133" s="55"/>
      <c r="F133" s="55"/>
      <c r="G133" s="55"/>
      <c r="H133" s="55"/>
      <c r="I133" s="55"/>
      <c r="J133" s="55"/>
    </row>
    <row r="134" spans="1:15" hidden="1" x14ac:dyDescent="0.2">
      <c r="A134" s="55"/>
      <c r="B134" s="55"/>
      <c r="C134" s="55"/>
      <c r="D134" s="55"/>
      <c r="E134" s="55"/>
      <c r="F134" s="55"/>
      <c r="G134" s="55"/>
      <c r="H134" s="55"/>
      <c r="I134" s="55"/>
      <c r="J134" s="55"/>
    </row>
    <row r="135" spans="1:15" hidden="1" x14ac:dyDescent="0.2">
      <c r="A135" s="55"/>
      <c r="B135" s="55"/>
      <c r="C135" s="55"/>
      <c r="D135" s="55"/>
      <c r="E135" s="55"/>
      <c r="F135" s="55"/>
      <c r="G135" s="55"/>
      <c r="H135" s="55"/>
      <c r="I135" s="55"/>
      <c r="J135" s="55"/>
    </row>
    <row r="136" spans="1:15" hidden="1" x14ac:dyDescent="0.2">
      <c r="A136" s="55"/>
      <c r="B136" s="55"/>
      <c r="C136" s="55"/>
      <c r="D136" s="55"/>
      <c r="E136" s="55"/>
      <c r="F136" s="55"/>
      <c r="G136" s="55"/>
      <c r="H136" s="55"/>
      <c r="I136" s="55"/>
      <c r="J136" s="55"/>
    </row>
    <row r="137" spans="1:15" hidden="1" x14ac:dyDescent="0.2">
      <c r="A137" s="55"/>
      <c r="B137" s="55"/>
      <c r="C137" s="55"/>
      <c r="D137" s="55"/>
      <c r="E137" s="55"/>
      <c r="F137" s="55"/>
      <c r="G137" s="55"/>
      <c r="H137" s="55"/>
      <c r="I137" s="55"/>
      <c r="J137" s="55"/>
    </row>
    <row r="138" spans="1:15" hidden="1" x14ac:dyDescent="0.2">
      <c r="A138" s="55"/>
      <c r="B138" s="55"/>
      <c r="C138" s="55"/>
      <c r="D138" s="55"/>
      <c r="E138" s="55"/>
      <c r="F138" s="55"/>
      <c r="G138" s="55"/>
      <c r="H138" s="55"/>
      <c r="I138" s="55"/>
      <c r="J138" s="55"/>
    </row>
    <row r="139" spans="1:15" hidden="1" x14ac:dyDescent="0.2">
      <c r="A139" s="55"/>
      <c r="B139" s="55"/>
      <c r="C139" s="55"/>
      <c r="D139" s="55"/>
      <c r="E139" s="55"/>
      <c r="F139" s="55"/>
      <c r="G139" s="55"/>
      <c r="H139" s="55"/>
      <c r="I139" s="55"/>
      <c r="J139" s="55"/>
    </row>
    <row r="140" spans="1:15" hidden="1" x14ac:dyDescent="0.2">
      <c r="G140" s="55"/>
      <c r="H140" s="55"/>
      <c r="I140" s="55"/>
      <c r="J140" s="55"/>
    </row>
    <row r="141" spans="1:15" hidden="1" x14ac:dyDescent="0.2"/>
    <row r="142" spans="1:15" hidden="1" x14ac:dyDescent="0.2"/>
    <row r="143" spans="1:15" hidden="1" x14ac:dyDescent="0.2"/>
    <row r="144" spans="1:1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spans="1:5" hidden="1" x14ac:dyDescent="0.2"/>
    <row r="162" spans="1:5" hidden="1" x14ac:dyDescent="0.2"/>
    <row r="163" spans="1:5" hidden="1" x14ac:dyDescent="0.2"/>
    <row r="164" spans="1:5" hidden="1" x14ac:dyDescent="0.2"/>
    <row r="165" spans="1:5" hidden="1" x14ac:dyDescent="0.2"/>
    <row r="166" spans="1:5" hidden="1" x14ac:dyDescent="0.2"/>
    <row r="167" spans="1:5" hidden="1" x14ac:dyDescent="0.2"/>
    <row r="168" spans="1:5" hidden="1" x14ac:dyDescent="0.2"/>
    <row r="169" spans="1:5" hidden="1" x14ac:dyDescent="0.2"/>
    <row r="170" spans="1:5" hidden="1" x14ac:dyDescent="0.2"/>
    <row r="171" spans="1:5" hidden="1" x14ac:dyDescent="0.2"/>
    <row r="172" spans="1:5" hidden="1" x14ac:dyDescent="0.2"/>
    <row r="173" spans="1:5" hidden="1" x14ac:dyDescent="0.2"/>
    <row r="174" spans="1:5" hidden="1" x14ac:dyDescent="0.2">
      <c r="A174" s="578"/>
      <c r="B174" s="579"/>
      <c r="C174" s="55"/>
      <c r="D174" s="55"/>
      <c r="E174" s="554"/>
    </row>
    <row r="175" spans="1:5" hidden="1" x14ac:dyDescent="0.2"/>
    <row r="176" spans="1:5"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C299" s="278" t="s">
        <v>190</v>
      </c>
    </row>
    <row r="300" spans="1:3" x14ac:dyDescent="0.2">
      <c r="A300" s="279">
        <v>1</v>
      </c>
      <c r="B300" s="105" t="str">
        <f t="shared" ref="B300:B303" si="25">IFERROR(INDEX(H$100:H$300,MATCH(A300&amp;". koht",H$101:H$301,0)),"")</f>
        <v>Elmo Lageda, Tõnu Piik, Ülo Piik</v>
      </c>
      <c r="C300" s="55">
        <v>40</v>
      </c>
    </row>
    <row r="301" spans="1:3" x14ac:dyDescent="0.2">
      <c r="A301" s="279">
        <v>2</v>
      </c>
      <c r="B301" s="280" t="str">
        <f t="shared" si="25"/>
        <v>Aarne Välja, Janek Tarto, Romek Tarto</v>
      </c>
      <c r="C301" s="55">
        <v>34</v>
      </c>
    </row>
    <row r="302" spans="1:3" x14ac:dyDescent="0.2">
      <c r="A302" s="279">
        <v>3</v>
      </c>
      <c r="B302" s="281" t="str">
        <f t="shared" si="25"/>
        <v>Ivar Viljaste, Kristo Viljaste, Matti Vinni</v>
      </c>
      <c r="C302" s="55">
        <v>30</v>
      </c>
    </row>
    <row r="303" spans="1:3" x14ac:dyDescent="0.2">
      <c r="A303" s="279">
        <v>4</v>
      </c>
      <c r="B303" s="104" t="str">
        <f t="shared" si="25"/>
        <v>Jaan Sepp, Mait Metsla, Oskar Sepp</v>
      </c>
      <c r="C303" s="55">
        <v>26</v>
      </c>
    </row>
    <row r="304" spans="1:3" x14ac:dyDescent="0.2">
      <c r="A304" s="279">
        <v>5</v>
      </c>
      <c r="B304" s="104" t="str">
        <f t="shared" ref="B304" si="26">IFERROR(INDEX(H$100:H$300,MATCH(A304&amp;". koht",H$101:H$301,0)),"")</f>
        <v>Boriss Klubov, Emil Murzajev, Lemmit Toomra</v>
      </c>
      <c r="C304" s="55">
        <v>22</v>
      </c>
    </row>
  </sheetData>
  <conditionalFormatting sqref="I10:I11">
    <cfRule type="expression" dxfId="1335" priority="192">
      <formula>FIND(2,I10,1)</formula>
    </cfRule>
    <cfRule type="expression" dxfId="1334" priority="193">
      <formula>FIND(1,I10,1)</formula>
    </cfRule>
  </conditionalFormatting>
  <conditionalFormatting sqref="I7:I9">
    <cfRule type="expression" dxfId="1333" priority="190">
      <formula>FIND(2,I7,1)</formula>
    </cfRule>
    <cfRule type="expression" dxfId="1332" priority="191">
      <formula>FIND(1,I7,1)</formula>
    </cfRule>
  </conditionalFormatting>
  <conditionalFormatting sqref="I14:I18">
    <cfRule type="expression" dxfId="1331" priority="188">
      <formula>FIND(2,I14,1)</formula>
    </cfRule>
    <cfRule type="expression" dxfId="1330" priority="189">
      <formula>FIND(1,I14,1)</formula>
    </cfRule>
  </conditionalFormatting>
  <conditionalFormatting sqref="D7 C8">
    <cfRule type="aboveAverage" dxfId="1329" priority="187"/>
  </conditionalFormatting>
  <conditionalFormatting sqref="E7 C9">
    <cfRule type="aboveAverage" dxfId="1328" priority="186"/>
  </conditionalFormatting>
  <conditionalFormatting sqref="F7 C10">
    <cfRule type="aboveAverage" dxfId="1327" priority="185"/>
  </conditionalFormatting>
  <conditionalFormatting sqref="E8 D9">
    <cfRule type="aboveAverage" dxfId="1326" priority="184"/>
  </conditionalFormatting>
  <conditionalFormatting sqref="G7 C11">
    <cfRule type="aboveAverage" dxfId="1325" priority="183"/>
  </conditionalFormatting>
  <conditionalFormatting sqref="F8 D10">
    <cfRule type="aboveAverage" dxfId="1324" priority="182"/>
  </conditionalFormatting>
  <conditionalFormatting sqref="G8 D11">
    <cfRule type="aboveAverage" dxfId="1323" priority="181"/>
  </conditionalFormatting>
  <conditionalFormatting sqref="F9 E10">
    <cfRule type="aboveAverage" dxfId="1322" priority="180"/>
  </conditionalFormatting>
  <conditionalFormatting sqref="G9 E11">
    <cfRule type="aboveAverage" dxfId="1321" priority="179"/>
  </conditionalFormatting>
  <conditionalFormatting sqref="F11 G10">
    <cfRule type="aboveAverage" dxfId="1320" priority="178"/>
  </conditionalFormatting>
  <conditionalFormatting sqref="I21:I25">
    <cfRule type="expression" dxfId="1319" priority="176">
      <formula>FIND(2,I21,1)</formula>
    </cfRule>
    <cfRule type="expression" dxfId="1318" priority="177">
      <formula>FIND(1,I21,1)</formula>
    </cfRule>
  </conditionalFormatting>
  <conditionalFormatting sqref="K14:K18">
    <cfRule type="expression" dxfId="1317" priority="168">
      <formula>AND(J14=3,IF(COUNTIF(J$14:J$18,"=3")&gt;=2,TRUE))</formula>
    </cfRule>
    <cfRule type="expression" dxfId="1316" priority="174">
      <formula>AND(J14=1,IF(COUNTIF(J$14:J$18,"=1")&gt;=2,TRUE))</formula>
    </cfRule>
    <cfRule type="expression" dxfId="1315" priority="175">
      <formula>AND(J14=2,IF(COUNTIF(J$14:J$18,"=2")&gt;=2,TRUE))</formula>
    </cfRule>
  </conditionalFormatting>
  <conditionalFormatting sqref="K21:K25">
    <cfRule type="expression" dxfId="1314" priority="167">
      <formula>AND(J21=3,IF(COUNTIF(J$21:J$25,"=3")&gt;=2,TRUE))</formula>
    </cfRule>
    <cfRule type="expression" dxfId="1313" priority="172">
      <formula>AND(J21=1,IF(COUNTIF(J$21:J$25,"=1")&gt;=2,TRUE))</formula>
    </cfRule>
    <cfRule type="expression" dxfId="1312" priority="173">
      <formula>AND(J21=2,IF(COUNTIF(J$21:J$25,"=2")&gt;=2,TRUE))</formula>
    </cfRule>
  </conditionalFormatting>
  <conditionalFormatting sqref="K7:K11">
    <cfRule type="expression" dxfId="1311" priority="169">
      <formula>AND(J7=3,IF(COUNTIF(J$7:J$11,"=3")&gt;=2,TRUE))</formula>
    </cfRule>
    <cfRule type="expression" dxfId="1310" priority="170">
      <formula>AND(J7=1,IF(COUNTIF(J$7:J$11,"=1")&gt;=2,TRUE))</formula>
    </cfRule>
    <cfRule type="expression" dxfId="1309" priority="171">
      <formula>AND(J7=2,IF(COUNTIF(J$7:J$11,"=2")&gt;=2,TRUE))</formula>
    </cfRule>
  </conditionalFormatting>
  <conditionalFormatting sqref="L14:L18">
    <cfRule type="expression" dxfId="1308" priority="161">
      <formula>OR(J14=0,J14=4)</formula>
    </cfRule>
    <cfRule type="expression" dxfId="1307" priority="165">
      <formula>AND(J14=1,IF(COUNTIF(J$14:J$18,"=1")=1,TRUE))</formula>
    </cfRule>
    <cfRule type="expression" dxfId="1306" priority="166">
      <formula>AND(J14=3,IF(COUNTIF(J$14:J$18,"=3")=1,TRUE))</formula>
    </cfRule>
  </conditionalFormatting>
  <conditionalFormatting sqref="L21:L25">
    <cfRule type="expression" dxfId="1305" priority="162">
      <formula>OR(J21=0,J21=4)</formula>
    </cfRule>
    <cfRule type="expression" dxfId="1304" priority="163">
      <formula>AND(J21=1,IF(COUNTIF(J$21:J$25,"=1")=1,TRUE))</formula>
    </cfRule>
    <cfRule type="expression" dxfId="1303" priority="164">
      <formula>AND(J21=3,IF(COUNTIF(J$21:J$25,"=3")=1,TRUE))</formula>
    </cfRule>
  </conditionalFormatting>
  <conditionalFormatting sqref="L7:L11">
    <cfRule type="expression" dxfId="1302" priority="158">
      <formula>OR(J7=0,J7=4)</formula>
    </cfRule>
    <cfRule type="expression" dxfId="1301" priority="159">
      <formula>AND(J7=1,IF(COUNTIF(J$7:J$11,"=1")=1,TRUE))</formula>
    </cfRule>
    <cfRule type="expression" dxfId="1300" priority="160">
      <formula>AND(J7=3,IF(COUNTIF(J$7:J$11,"=3")=1,TRUE))</formula>
    </cfRule>
  </conditionalFormatting>
  <conditionalFormatting sqref="H7:H11">
    <cfRule type="expression" dxfId="1299" priority="149">
      <formula>AND(J7=1,IF(COUNTIF(J$7:J$11,"=1")&gt;=2,TRUE))</formula>
    </cfRule>
    <cfRule type="expression" dxfId="1298" priority="156">
      <formula>AND(J7=3,IF(COUNTIF(J$7:J$11,"=3")&gt;=2,TRUE))</formula>
    </cfRule>
    <cfRule type="expression" dxfId="1297" priority="157">
      <formula>AND(J7=2,IF(COUNTIF(J$7:J$11,"=2")&gt;=2,TRUE))</formula>
    </cfRule>
  </conditionalFormatting>
  <conditionalFormatting sqref="H14:H18">
    <cfRule type="expression" dxfId="1296" priority="150">
      <formula>AND(J14=1,IF(COUNTIF(J$14:J$18,"=1")&gt;=2,TRUE))</formula>
    </cfRule>
    <cfRule type="expression" dxfId="1295" priority="154">
      <formula>AND(J14=3,IF(COUNTIF(J$14:J$18,"=3")&gt;=2,TRUE))</formula>
    </cfRule>
    <cfRule type="expression" dxfId="1294" priority="155">
      <formula>AND(J14=2,IF(COUNTIF(J$14:J$18,"=2")&gt;=2,TRUE))</formula>
    </cfRule>
  </conditionalFormatting>
  <conditionalFormatting sqref="H21:H25">
    <cfRule type="expression" dxfId="1293" priority="151">
      <formula>AND(J21=1,IF(COUNTIF(J$21:J$25,"=1")&gt;=2,TRUE))</formula>
    </cfRule>
    <cfRule type="expression" dxfId="1292" priority="152">
      <formula>AND(J21=3,IF(COUNTIF(J$21:J$25,"=3")&gt;=2,TRUE))</formula>
    </cfRule>
    <cfRule type="expression" dxfId="1291" priority="153">
      <formula>AND(J21=2,IF(COUNTIF(J$21:J$25,"=2")&gt;=2,TRUE))</formula>
    </cfRule>
  </conditionalFormatting>
  <conditionalFormatting sqref="C69 C73:C74">
    <cfRule type="aboveAverage" dxfId="1290" priority="148"/>
  </conditionalFormatting>
  <conditionalFormatting sqref="D69 D73:D74">
    <cfRule type="aboveAverage" dxfId="1289" priority="147"/>
  </conditionalFormatting>
  <conditionalFormatting sqref="I28:I32">
    <cfRule type="expression" dxfId="1288" priority="145">
      <formula>FIND(2,I28,1)</formula>
    </cfRule>
    <cfRule type="expression" dxfId="1287" priority="146">
      <formula>FIND(1,I28,1)</formula>
    </cfRule>
  </conditionalFormatting>
  <conditionalFormatting sqref="K28:K32">
    <cfRule type="expression" dxfId="1286" priority="142">
      <formula>AND(J28=3,IF(COUNTIF(J$28:J$32,"=3")&gt;=2,TRUE))</formula>
    </cfRule>
    <cfRule type="expression" dxfId="1285" priority="143">
      <formula>AND(J28=1,IF(COUNTIF(J$28:J$32,"=1")&gt;=2,TRUE))</formula>
    </cfRule>
    <cfRule type="expression" dxfId="1284" priority="144">
      <formula>AND(J28=2,IF(COUNTIF(J$28:J$32,"=2")&gt;=2,TRUE))</formula>
    </cfRule>
  </conditionalFormatting>
  <conditionalFormatting sqref="L28:L32">
    <cfRule type="expression" dxfId="1283" priority="139">
      <formula>OR(J28=0,J28=4)</formula>
    </cfRule>
    <cfRule type="expression" dxfId="1282" priority="140">
      <formula>AND(J28=1,IF(COUNTIF(J$28:J$32,"=1")=1,TRUE))</formula>
    </cfRule>
    <cfRule type="expression" dxfId="1281" priority="141">
      <formula>AND(J28=3,IF(COUNTIF(J$28:J$32,"=3")=1,TRUE))</formula>
    </cfRule>
  </conditionalFormatting>
  <conditionalFormatting sqref="H28:H32">
    <cfRule type="expression" dxfId="1280" priority="136">
      <formula>AND(J28=1,IF(COUNTIF(J$28:J$32,"=1")&gt;=2,TRUE))</formula>
    </cfRule>
    <cfRule type="expression" dxfId="1279" priority="137">
      <formula>AND(J28=3,IF(COUNTIF(J$28:J$32,"=3")&gt;=2,TRUE))</formula>
    </cfRule>
    <cfRule type="expression" dxfId="1278" priority="138">
      <formula>AND(J28=2,IF(COUNTIF(J$28:J$32,"=2")&gt;=2,TRUE))</formula>
    </cfRule>
  </conditionalFormatting>
  <conditionalFormatting sqref="B9">
    <cfRule type="duplicateValues" dxfId="1277" priority="194"/>
  </conditionalFormatting>
  <conditionalFormatting sqref="N21:N24">
    <cfRule type="duplicateValues" dxfId="1276" priority="135"/>
  </conditionalFormatting>
  <conditionalFormatting sqref="N26:N31">
    <cfRule type="duplicateValues" dxfId="1275" priority="134"/>
  </conditionalFormatting>
  <conditionalFormatting sqref="N15:N17 N19:N20">
    <cfRule type="duplicateValues" dxfId="1274" priority="195"/>
  </conditionalFormatting>
  <conditionalFormatting sqref="N10 N3:N6 N12:N14">
    <cfRule type="duplicateValues" dxfId="1273" priority="196"/>
  </conditionalFormatting>
  <conditionalFormatting sqref="D14 C15">
    <cfRule type="aboveAverage" dxfId="1272" priority="132"/>
  </conditionalFormatting>
  <conditionalFormatting sqref="E14 C16">
    <cfRule type="aboveAverage" dxfId="1271" priority="131"/>
  </conditionalFormatting>
  <conditionalFormatting sqref="F14 C17">
    <cfRule type="aboveAverage" dxfId="1270" priority="130"/>
  </conditionalFormatting>
  <conditionalFormatting sqref="E15 D16">
    <cfRule type="aboveAverage" dxfId="1269" priority="129"/>
  </conditionalFormatting>
  <conditionalFormatting sqref="G14 C18">
    <cfRule type="aboveAverage" dxfId="1268" priority="128"/>
  </conditionalFormatting>
  <conditionalFormatting sqref="F15 D17">
    <cfRule type="aboveAverage" dxfId="1267" priority="127"/>
  </conditionalFormatting>
  <conditionalFormatting sqref="G15 D18">
    <cfRule type="aboveAverage" dxfId="1266" priority="126"/>
  </conditionalFormatting>
  <conditionalFormatting sqref="F16 E17">
    <cfRule type="aboveAverage" dxfId="1265" priority="125"/>
  </conditionalFormatting>
  <conditionalFormatting sqref="G16 E18">
    <cfRule type="aboveAverage" dxfId="1264" priority="124"/>
  </conditionalFormatting>
  <conditionalFormatting sqref="F18 G17">
    <cfRule type="aboveAverage" dxfId="1263" priority="123"/>
  </conditionalFormatting>
  <conditionalFormatting sqref="B16">
    <cfRule type="duplicateValues" dxfId="1262" priority="133"/>
  </conditionalFormatting>
  <conditionalFormatting sqref="D21 C22">
    <cfRule type="aboveAverage" dxfId="1261" priority="121"/>
  </conditionalFormatting>
  <conditionalFormatting sqref="E21 C23">
    <cfRule type="aboveAverage" dxfId="1260" priority="120"/>
  </conditionalFormatting>
  <conditionalFormatting sqref="F21 C24">
    <cfRule type="aboveAverage" dxfId="1259" priority="119"/>
  </conditionalFormatting>
  <conditionalFormatting sqref="E22 D23">
    <cfRule type="aboveAverage" dxfId="1258" priority="118"/>
  </conditionalFormatting>
  <conditionalFormatting sqref="G21 C25">
    <cfRule type="aboveAverage" dxfId="1257" priority="117"/>
  </conditionalFormatting>
  <conditionalFormatting sqref="F22 D24">
    <cfRule type="aboveAverage" dxfId="1256" priority="116"/>
  </conditionalFormatting>
  <conditionalFormatting sqref="G22 D25">
    <cfRule type="aboveAverage" dxfId="1255" priority="115"/>
  </conditionalFormatting>
  <conditionalFormatting sqref="F23 E24">
    <cfRule type="aboveAverage" dxfId="1254" priority="114"/>
  </conditionalFormatting>
  <conditionalFormatting sqref="G23 E25">
    <cfRule type="aboveAverage" dxfId="1253" priority="113"/>
  </conditionalFormatting>
  <conditionalFormatting sqref="F25 G24">
    <cfRule type="aboveAverage" dxfId="1252" priority="112"/>
  </conditionalFormatting>
  <conditionalFormatting sqref="B23">
    <cfRule type="duplicateValues" dxfId="1251" priority="122"/>
  </conditionalFormatting>
  <conditionalFormatting sqref="D28 C29">
    <cfRule type="aboveAverage" dxfId="1250" priority="110"/>
  </conditionalFormatting>
  <conditionalFormatting sqref="E28 C30">
    <cfRule type="aboveAverage" dxfId="1249" priority="109"/>
  </conditionalFormatting>
  <conditionalFormatting sqref="F28 C31">
    <cfRule type="aboveAverage" dxfId="1248" priority="108"/>
  </conditionalFormatting>
  <conditionalFormatting sqref="E29 D30">
    <cfRule type="aboveAverage" dxfId="1247" priority="107"/>
  </conditionalFormatting>
  <conditionalFormatting sqref="G28 C32">
    <cfRule type="aboveAverage" dxfId="1246" priority="106"/>
  </conditionalFormatting>
  <conditionalFormatting sqref="F29 D31">
    <cfRule type="aboveAverage" dxfId="1245" priority="105"/>
  </conditionalFormatting>
  <conditionalFormatting sqref="G29 D32">
    <cfRule type="aboveAverage" dxfId="1244" priority="104"/>
  </conditionalFormatting>
  <conditionalFormatting sqref="F30 E31">
    <cfRule type="aboveAverage" dxfId="1243" priority="103"/>
  </conditionalFormatting>
  <conditionalFormatting sqref="G30 E32">
    <cfRule type="aboveAverage" dxfId="1242" priority="102"/>
  </conditionalFormatting>
  <conditionalFormatting sqref="F32 G31">
    <cfRule type="aboveAverage" dxfId="1241" priority="101"/>
  </conditionalFormatting>
  <conditionalFormatting sqref="B30">
    <cfRule type="duplicateValues" dxfId="1240" priority="111"/>
  </conditionalFormatting>
  <conditionalFormatting sqref="I38:I39">
    <cfRule type="expression" dxfId="1239" priority="96">
      <formula>FIND(2,I38,1)</formula>
    </cfRule>
    <cfRule type="expression" dxfId="1238" priority="97">
      <formula>FIND(1,I38,1)</formula>
    </cfRule>
  </conditionalFormatting>
  <conditionalFormatting sqref="I35:I37">
    <cfRule type="expression" dxfId="1237" priority="94">
      <formula>FIND(2,I35,1)</formula>
    </cfRule>
    <cfRule type="expression" dxfId="1236" priority="95">
      <formula>FIND(1,I35,1)</formula>
    </cfRule>
  </conditionalFormatting>
  <conditionalFormatting sqref="I42:I46">
    <cfRule type="expression" dxfId="1235" priority="92">
      <formula>FIND(2,I42,1)</formula>
    </cfRule>
    <cfRule type="expression" dxfId="1234" priority="93">
      <formula>FIND(1,I42,1)</formula>
    </cfRule>
  </conditionalFormatting>
  <conditionalFormatting sqref="D35 C36">
    <cfRule type="aboveAverage" dxfId="1233" priority="91"/>
  </conditionalFormatting>
  <conditionalFormatting sqref="E35 C37">
    <cfRule type="aboveAverage" dxfId="1232" priority="90"/>
  </conditionalFormatting>
  <conditionalFormatting sqref="F35 C38">
    <cfRule type="aboveAverage" dxfId="1231" priority="89"/>
  </conditionalFormatting>
  <conditionalFormatting sqref="E36 D37">
    <cfRule type="aboveAverage" dxfId="1230" priority="88"/>
  </conditionalFormatting>
  <conditionalFormatting sqref="G35 C39">
    <cfRule type="aboveAverage" dxfId="1229" priority="87"/>
  </conditionalFormatting>
  <conditionalFormatting sqref="F36 D38">
    <cfRule type="aboveAverage" dxfId="1228" priority="86"/>
  </conditionalFormatting>
  <conditionalFormatting sqref="G36 D39">
    <cfRule type="aboveAverage" dxfId="1227" priority="85"/>
  </conditionalFormatting>
  <conditionalFormatting sqref="F37 E38">
    <cfRule type="aboveAverage" dxfId="1226" priority="84"/>
  </conditionalFormatting>
  <conditionalFormatting sqref="G37 E39">
    <cfRule type="aboveAverage" dxfId="1225" priority="83"/>
  </conditionalFormatting>
  <conditionalFormatting sqref="F39 G38">
    <cfRule type="aboveAverage" dxfId="1224" priority="82"/>
  </conditionalFormatting>
  <conditionalFormatting sqref="I49:I53">
    <cfRule type="expression" dxfId="1223" priority="80">
      <formula>FIND(2,I49,1)</formula>
    </cfRule>
    <cfRule type="expression" dxfId="1222" priority="81">
      <formula>FIND(1,I49,1)</formula>
    </cfRule>
  </conditionalFormatting>
  <conditionalFormatting sqref="K42:K46">
    <cfRule type="expression" dxfId="1221" priority="72">
      <formula>AND(J42=3,IF(COUNTIF(J$14:J$18,"=3")&gt;=2,TRUE))</formula>
    </cfRule>
    <cfRule type="expression" dxfId="1220" priority="78">
      <formula>AND(J42=1,IF(COUNTIF(J$14:J$18,"=1")&gt;=2,TRUE))</formula>
    </cfRule>
    <cfRule type="expression" dxfId="1219" priority="79">
      <formula>AND(J42=2,IF(COUNTIF(J$14:J$18,"=2")&gt;=2,TRUE))</formula>
    </cfRule>
  </conditionalFormatting>
  <conditionalFormatting sqref="K49:K53">
    <cfRule type="expression" dxfId="1218" priority="71">
      <formula>AND(J49=3,IF(COUNTIF(J$21:J$25,"=3")&gt;=2,TRUE))</formula>
    </cfRule>
    <cfRule type="expression" dxfId="1217" priority="76">
      <formula>AND(J49=1,IF(COUNTIF(J$21:J$25,"=1")&gt;=2,TRUE))</formula>
    </cfRule>
    <cfRule type="expression" dxfId="1216" priority="77">
      <formula>AND(J49=2,IF(COUNTIF(J$21:J$25,"=2")&gt;=2,TRUE))</formula>
    </cfRule>
  </conditionalFormatting>
  <conditionalFormatting sqref="K35:K39">
    <cfRule type="expression" dxfId="1215" priority="73">
      <formula>AND(J35=3,IF(COUNTIF(J$7:J$11,"=3")&gt;=2,TRUE))</formula>
    </cfRule>
    <cfRule type="expression" dxfId="1214" priority="74">
      <formula>AND(J35=1,IF(COUNTIF(J$7:J$11,"=1")&gt;=2,TRUE))</formula>
    </cfRule>
    <cfRule type="expression" dxfId="1213" priority="75">
      <formula>AND(J35=2,IF(COUNTIF(J$7:J$11,"=2")&gt;=2,TRUE))</formula>
    </cfRule>
  </conditionalFormatting>
  <conditionalFormatting sqref="L42:L46">
    <cfRule type="expression" dxfId="1212" priority="65">
      <formula>OR(J42=0,J42=4)</formula>
    </cfRule>
    <cfRule type="expression" dxfId="1211" priority="69">
      <formula>AND(J42=1,IF(COUNTIF(J$14:J$18,"=1")=1,TRUE))</formula>
    </cfRule>
    <cfRule type="expression" dxfId="1210" priority="70">
      <formula>AND(J42=3,IF(COUNTIF(J$14:J$18,"=3")=1,TRUE))</formula>
    </cfRule>
  </conditionalFormatting>
  <conditionalFormatting sqref="L49:L53">
    <cfRule type="expression" dxfId="1209" priority="66">
      <formula>OR(J49=0,J49=4)</formula>
    </cfRule>
    <cfRule type="expression" dxfId="1208" priority="67">
      <formula>AND(J49=1,IF(COUNTIF(J$21:J$25,"=1")=1,TRUE))</formula>
    </cfRule>
    <cfRule type="expression" dxfId="1207" priority="68">
      <formula>AND(J49=3,IF(COUNTIF(J$21:J$25,"=3")=1,TRUE))</formula>
    </cfRule>
  </conditionalFormatting>
  <conditionalFormatting sqref="L35:L39">
    <cfRule type="expression" dxfId="1206" priority="62">
      <formula>OR(J35=0,J35=4)</formula>
    </cfRule>
    <cfRule type="expression" dxfId="1205" priority="63">
      <formula>AND(J35=1,IF(COUNTIF(J$7:J$11,"=1")=1,TRUE))</formula>
    </cfRule>
    <cfRule type="expression" dxfId="1204" priority="64">
      <formula>AND(J35=3,IF(COUNTIF(J$7:J$11,"=3")=1,TRUE))</formula>
    </cfRule>
  </conditionalFormatting>
  <conditionalFormatting sqref="H35:H39">
    <cfRule type="expression" dxfId="1203" priority="53">
      <formula>AND(J35=1,IF(COUNTIF(J$7:J$11,"=1")&gt;=2,TRUE))</formula>
    </cfRule>
    <cfRule type="expression" dxfId="1202" priority="60">
      <formula>AND(J35=3,IF(COUNTIF(J$7:J$11,"=3")&gt;=2,TRUE))</formula>
    </cfRule>
    <cfRule type="expression" dxfId="1201" priority="61">
      <formula>AND(J35=2,IF(COUNTIF(J$7:J$11,"=2")&gt;=2,TRUE))</formula>
    </cfRule>
  </conditionalFormatting>
  <conditionalFormatting sqref="H42:H46">
    <cfRule type="expression" dxfId="1200" priority="54">
      <formula>AND(J42=1,IF(COUNTIF(J$14:J$18,"=1")&gt;=2,TRUE))</formula>
    </cfRule>
    <cfRule type="expression" dxfId="1199" priority="58">
      <formula>AND(J42=3,IF(COUNTIF(J$14:J$18,"=3")&gt;=2,TRUE))</formula>
    </cfRule>
    <cfRule type="expression" dxfId="1198" priority="59">
      <formula>AND(J42=2,IF(COUNTIF(J$14:J$18,"=2")&gt;=2,TRUE))</formula>
    </cfRule>
  </conditionalFormatting>
  <conditionalFormatting sqref="H49:H53">
    <cfRule type="expression" dxfId="1197" priority="55">
      <formula>AND(J49=1,IF(COUNTIF(J$21:J$25,"=1")&gt;=2,TRUE))</formula>
    </cfRule>
    <cfRule type="expression" dxfId="1196" priority="56">
      <formula>AND(J49=3,IF(COUNTIF(J$21:J$25,"=3")&gt;=2,TRUE))</formula>
    </cfRule>
    <cfRule type="expression" dxfId="1195" priority="57">
      <formula>AND(J49=2,IF(COUNTIF(J$21:J$25,"=2")&gt;=2,TRUE))</formula>
    </cfRule>
  </conditionalFormatting>
  <conditionalFormatting sqref="I56:I60">
    <cfRule type="expression" dxfId="1194" priority="51">
      <formula>FIND(2,I56,1)</formula>
    </cfRule>
    <cfRule type="expression" dxfId="1193" priority="52">
      <formula>FIND(1,I56,1)</formula>
    </cfRule>
  </conditionalFormatting>
  <conditionalFormatting sqref="K56:K60">
    <cfRule type="expression" dxfId="1192" priority="48">
      <formula>AND(J56=3,IF(COUNTIF(J$28:J$32,"=3")&gt;=2,TRUE))</formula>
    </cfRule>
    <cfRule type="expression" dxfId="1191" priority="49">
      <formula>AND(J56=1,IF(COUNTIF(J$28:J$32,"=1")&gt;=2,TRUE))</formula>
    </cfRule>
    <cfRule type="expression" dxfId="1190" priority="50">
      <formula>AND(J56=2,IF(COUNTIF(J$28:J$32,"=2")&gt;=2,TRUE))</formula>
    </cfRule>
  </conditionalFormatting>
  <conditionalFormatting sqref="L56:L60">
    <cfRule type="expression" dxfId="1189" priority="45">
      <formula>OR(J56=0,J56=4)</formula>
    </cfRule>
    <cfRule type="expression" dxfId="1188" priority="46">
      <formula>AND(J56=1,IF(COUNTIF(J$28:J$32,"=1")=1,TRUE))</formula>
    </cfRule>
    <cfRule type="expression" dxfId="1187" priority="47">
      <formula>AND(J56=3,IF(COUNTIF(J$28:J$32,"=3")=1,TRUE))</formula>
    </cfRule>
  </conditionalFormatting>
  <conditionalFormatting sqref="H56:H60">
    <cfRule type="expression" dxfId="1186" priority="42">
      <formula>AND(J56=1,IF(COUNTIF(J$28:J$32,"=1")&gt;=2,TRUE))</formula>
    </cfRule>
    <cfRule type="expression" dxfId="1185" priority="43">
      <formula>AND(J56=3,IF(COUNTIF(J$28:J$32,"=3")&gt;=2,TRUE))</formula>
    </cfRule>
    <cfRule type="expression" dxfId="1184" priority="44">
      <formula>AND(J56=2,IF(COUNTIF(J$28:J$32,"=2")&gt;=2,TRUE))</formula>
    </cfRule>
  </conditionalFormatting>
  <conditionalFormatting sqref="B37">
    <cfRule type="duplicateValues" dxfId="1183" priority="98"/>
  </conditionalFormatting>
  <conditionalFormatting sqref="N49:N52">
    <cfRule type="duplicateValues" dxfId="1182" priority="41"/>
  </conditionalFormatting>
  <conditionalFormatting sqref="N54:N59">
    <cfRule type="duplicateValues" dxfId="1181" priority="40"/>
  </conditionalFormatting>
  <conditionalFormatting sqref="N43:N45 N47:N48">
    <cfRule type="duplicateValues" dxfId="1180" priority="99"/>
  </conditionalFormatting>
  <conditionalFormatting sqref="N38 N40:N42">
    <cfRule type="duplicateValues" dxfId="1179" priority="100"/>
  </conditionalFormatting>
  <conditionalFormatting sqref="D42 C43">
    <cfRule type="aboveAverage" dxfId="1178" priority="38"/>
  </conditionalFormatting>
  <conditionalFormatting sqref="E42 C44">
    <cfRule type="aboveAverage" dxfId="1177" priority="37"/>
  </conditionalFormatting>
  <conditionalFormatting sqref="F42 C45">
    <cfRule type="aboveAverage" dxfId="1176" priority="36"/>
  </conditionalFormatting>
  <conditionalFormatting sqref="E43 D44">
    <cfRule type="aboveAverage" dxfId="1175" priority="35"/>
  </conditionalFormatting>
  <conditionalFormatting sqref="G42 C46">
    <cfRule type="aboveAverage" dxfId="1174" priority="34"/>
  </conditionalFormatting>
  <conditionalFormatting sqref="F43 D45">
    <cfRule type="aboveAverage" dxfId="1173" priority="33"/>
  </conditionalFormatting>
  <conditionalFormatting sqref="G43 D46">
    <cfRule type="aboveAverage" dxfId="1172" priority="32"/>
  </conditionalFormatting>
  <conditionalFormatting sqref="F44 E45">
    <cfRule type="aboveAverage" dxfId="1171" priority="31"/>
  </conditionalFormatting>
  <conditionalFormatting sqref="G44 E46">
    <cfRule type="aboveAverage" dxfId="1170" priority="30"/>
  </conditionalFormatting>
  <conditionalFormatting sqref="F46 G45">
    <cfRule type="aboveAverage" dxfId="1169" priority="29"/>
  </conditionalFormatting>
  <conditionalFormatting sqref="B44">
    <cfRule type="duplicateValues" dxfId="1168" priority="39"/>
  </conditionalFormatting>
  <conditionalFormatting sqref="D49 C50">
    <cfRule type="aboveAverage" dxfId="1167" priority="27"/>
  </conditionalFormatting>
  <conditionalFormatting sqref="E49 C51">
    <cfRule type="aboveAverage" dxfId="1166" priority="26"/>
  </conditionalFormatting>
  <conditionalFormatting sqref="F49 C52">
    <cfRule type="aboveAverage" dxfId="1165" priority="25"/>
  </conditionalFormatting>
  <conditionalFormatting sqref="E50 D51">
    <cfRule type="aboveAverage" dxfId="1164" priority="24"/>
  </conditionalFormatting>
  <conditionalFormatting sqref="G49 C53">
    <cfRule type="aboveAverage" dxfId="1163" priority="23"/>
  </conditionalFormatting>
  <conditionalFormatting sqref="F50 D52">
    <cfRule type="aboveAverage" dxfId="1162" priority="22"/>
  </conditionalFormatting>
  <conditionalFormatting sqref="G50 D53">
    <cfRule type="aboveAverage" dxfId="1161" priority="21"/>
  </conditionalFormatting>
  <conditionalFormatting sqref="F51 E52">
    <cfRule type="aboveAverage" dxfId="1160" priority="20"/>
  </conditionalFormatting>
  <conditionalFormatting sqref="G51 E53">
    <cfRule type="aboveAverage" dxfId="1159" priority="19"/>
  </conditionalFormatting>
  <conditionalFormatting sqref="F53 G52">
    <cfRule type="aboveAverage" dxfId="1158" priority="18"/>
  </conditionalFormatting>
  <conditionalFormatting sqref="B51">
    <cfRule type="duplicateValues" dxfId="1157" priority="28"/>
  </conditionalFormatting>
  <conditionalFormatting sqref="D56 C57">
    <cfRule type="aboveAverage" dxfId="1156" priority="16"/>
  </conditionalFormatting>
  <conditionalFormatting sqref="E56 C58">
    <cfRule type="aboveAverage" dxfId="1155" priority="15"/>
  </conditionalFormatting>
  <conditionalFormatting sqref="F56 C59">
    <cfRule type="aboveAverage" dxfId="1154" priority="14"/>
  </conditionalFormatting>
  <conditionalFormatting sqref="E57 D58">
    <cfRule type="aboveAverage" dxfId="1153" priority="13"/>
  </conditionalFormatting>
  <conditionalFormatting sqref="G56 C60">
    <cfRule type="aboveAverage" dxfId="1152" priority="12"/>
  </conditionalFormatting>
  <conditionalFormatting sqref="F57 D59">
    <cfRule type="aboveAverage" dxfId="1151" priority="11"/>
  </conditionalFormatting>
  <conditionalFormatting sqref="G57 D60">
    <cfRule type="aboveAverage" dxfId="1150" priority="10"/>
  </conditionalFormatting>
  <conditionalFormatting sqref="F58 E59">
    <cfRule type="aboveAverage" dxfId="1149" priority="9"/>
  </conditionalFormatting>
  <conditionalFormatting sqref="G58 E60">
    <cfRule type="aboveAverage" dxfId="1148" priority="8"/>
  </conditionalFormatting>
  <conditionalFormatting sqref="F60 G59">
    <cfRule type="aboveAverage" dxfId="1147" priority="7"/>
  </conditionalFormatting>
  <conditionalFormatting sqref="B58">
    <cfRule type="duplicateValues" dxfId="1146" priority="17"/>
  </conditionalFormatting>
  <conditionalFormatting sqref="W7:W11 W14:W18 W21:W25 W28:W32 W35:W39 W42:W46 W49:W53 W56:W60">
    <cfRule type="expression" dxfId="1145" priority="1">
      <formula>AND(X7="",FIND(",",W7))</formula>
    </cfRule>
    <cfRule type="expression" dxfId="1144" priority="6">
      <formula>AND(X7="",COUNTIF(W7,"*,*")=0)</formula>
    </cfRule>
  </conditionalFormatting>
  <conditionalFormatting sqref="Y7:Y11 Y14:Y18 Y21:Y25 Y28:Y32 Y35:Y39 Y42:Y46 Y49:Y53 Y56:Y60">
    <cfRule type="expression" dxfId="1143" priority="5">
      <formula>AND(Z7="",COUNTIF(Y7,"*,*")=0)</formula>
    </cfRule>
  </conditionalFormatting>
  <conditionalFormatting sqref="AA7:AA11 AA14:AA18 AA21:AA25 AA28:AA32 AA35:AA39 AA42:AA46 AA49:AA53 AA56:AA60">
    <cfRule type="expression" dxfId="1142" priority="4">
      <formula>AND(AB7="",COUNTIF(AA7,"*,*")=0)</formula>
    </cfRule>
  </conditionalFormatting>
  <conditionalFormatting sqref="U7:U11 U14:U18 U21:U25 U28:U32 U35:U39 U42:U46 U49:U53 U56:U60">
    <cfRule type="expression" dxfId="1141" priority="3">
      <formula>AND(V7="",COUNTIF(U7,"*,*")=0)</formula>
    </cfRule>
  </conditionalFormatting>
  <conditionalFormatting sqref="S7:S11 S14:S18 S21:S25 S28:S32 S35:S39 S42:S46 S49:S53 S56:S60">
    <cfRule type="expression" dxfId="1140" priority="2">
      <formula>AND(T7="",COUNTIF(S7,"*,*")=0)</formula>
    </cfRule>
  </conditionalFormatting>
  <conditionalFormatting sqref="B300:B304">
    <cfRule type="containsBlanks" dxfId="1139" priority="197">
      <formula>LEN(TRIM(B300))=0</formula>
    </cfRule>
    <cfRule type="duplicateValues" dxfId="1138" priority="198"/>
  </conditionalFormatting>
  <pageMargins left="0.78740157480314965" right="0.39370078740157483" top="0.59055118110236227" bottom="0.31496062992125984" header="0.39370078740157483" footer="0"/>
  <pageSetup paperSize="9" fitToHeight="0" orientation="landscape" horizontalDpi="1200" verticalDpi="1200" r:id="rId1"/>
  <headerFooter>
    <oddHeader>&amp;R&amp;"Arial,Regular"&amp;9Page &amp;P of &amp;N</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B0F0"/>
    <pageSetUpPr fitToPage="1"/>
  </sheetPr>
  <dimension ref="A1:N310"/>
  <sheetViews>
    <sheetView showGridLines="0" showRowColHeaders="0" zoomScaleNormal="100" workbookViewId="0">
      <pane ySplit="2" topLeftCell="A3" activePane="bottomLeft" state="frozen"/>
      <selection activeCell="K1" sqref="K1"/>
      <selection pane="bottomLeft" activeCell="L1" sqref="L1"/>
    </sheetView>
  </sheetViews>
  <sheetFormatPr defaultRowHeight="12.75" x14ac:dyDescent="0.2"/>
  <cols>
    <col min="1" max="1" width="5.5703125" style="277" customWidth="1"/>
    <col min="2" max="2" width="18.7109375" style="277" bestFit="1" customWidth="1"/>
    <col min="3" max="3" width="6.7109375" style="277" customWidth="1"/>
    <col min="4" max="4" width="7.42578125" style="277" bestFit="1" customWidth="1"/>
    <col min="5" max="5" width="9.140625" style="277" bestFit="1" customWidth="1"/>
    <col min="6" max="9" width="6.7109375" style="277" customWidth="1"/>
    <col min="10" max="10" width="6.7109375" style="277" hidden="1" customWidth="1"/>
    <col min="11" max="12" width="6.7109375" style="277" customWidth="1"/>
    <col min="13" max="13" width="0" style="277" hidden="1" customWidth="1"/>
    <col min="14" max="16384" width="9.140625" style="277"/>
  </cols>
  <sheetData>
    <row r="1" spans="1:14" x14ac:dyDescent="0.2">
      <c r="A1" s="31" t="str">
        <f>UPPER((Kalend!E50)&amp;" - "&amp;(Kalend!C50)&amp;" - "&amp;(Kalend!D50))</f>
        <v>13 - K-JÄRVE 19. MV - ÜKSIK</v>
      </c>
      <c r="G1" s="495" t="str">
        <f>HYPERLINK("#'Kalend'!I1","Kalender")</f>
        <v>Kalender</v>
      </c>
      <c r="I1" s="1365" t="str">
        <f>HYPERLINK("#'Reit'!T1","Reiting")</f>
        <v>Reiting</v>
      </c>
      <c r="J1" s="497"/>
      <c r="M1" s="497"/>
    </row>
    <row r="2" spans="1:14" x14ac:dyDescent="0.2">
      <c r="A2" s="2" t="str">
        <f>"Toimumisaeg: "&amp;(Kalend!A50)&amp;" kell "&amp;(Kalend!B50)</f>
        <v>Toimumisaeg: P, 30.09.2018 kell 11:00</v>
      </c>
    </row>
    <row r="3" spans="1:14" x14ac:dyDescent="0.2">
      <c r="A3" s="2" t="str">
        <f>"Toimumiskoht: "&amp;(Kalend!F50)</f>
        <v>Toimumiskoht: K-Järve spordihoone</v>
      </c>
    </row>
    <row r="4" spans="1:14" x14ac:dyDescent="0.2">
      <c r="A4" s="2" t="str">
        <f>"Korraldaja: "&amp;(Kalend!G50)</f>
        <v>Korraldaja: K-Järve SHK, Ivar Viljaste</v>
      </c>
    </row>
    <row r="5" spans="1:14" x14ac:dyDescent="0.2">
      <c r="A5" s="55"/>
      <c r="B5" s="55"/>
      <c r="C5" s="55"/>
      <c r="D5" s="55"/>
      <c r="E5" s="55"/>
      <c r="F5" s="55"/>
      <c r="G5" s="55"/>
      <c r="H5" s="55"/>
    </row>
    <row r="6" spans="1:14" s="506" customFormat="1" x14ac:dyDescent="0.2">
      <c r="A6" s="580" t="s">
        <v>140</v>
      </c>
      <c r="B6" s="581"/>
      <c r="C6" s="501" t="s">
        <v>409</v>
      </c>
      <c r="D6" s="580" t="s">
        <v>410</v>
      </c>
      <c r="E6" s="580" t="s">
        <v>411</v>
      </c>
      <c r="F6" s="501" t="s">
        <v>412</v>
      </c>
      <c r="G6" s="501" t="s">
        <v>26</v>
      </c>
      <c r="H6" s="55"/>
    </row>
    <row r="7" spans="1:14" s="506" customFormat="1" x14ac:dyDescent="0.2">
      <c r="A7" s="580">
        <v>1</v>
      </c>
      <c r="B7" s="841" t="s">
        <v>89</v>
      </c>
      <c r="C7" s="582">
        <v>13</v>
      </c>
      <c r="D7" s="582">
        <v>13</v>
      </c>
      <c r="E7" s="510"/>
      <c r="F7" s="224"/>
      <c r="G7" s="510" t="str">
        <f>IF(AND(COUNT(F7:F10)=2,F7=MAX(F7:F10),COUNT(C7:F7)=3),A6&amp;"2",IF(AND(COUNT(E7:E10)=2,ISNUMBER(E7),E7=MIN(E7:E10),D7="",F7=""),A6&amp;"4",IF(AND(COUNT(D7:D10)=2,D7=MAX(D7:D10),E7="",F7=""),A6&amp;"1",IF(COUNT(F7:F10)=2,A6&amp;"3",""))))</f>
        <v>A1</v>
      </c>
    </row>
    <row r="8" spans="1:14" s="506" customFormat="1" x14ac:dyDescent="0.2">
      <c r="A8" s="580">
        <v>2</v>
      </c>
      <c r="B8" s="1004" t="s">
        <v>101</v>
      </c>
      <c r="C8" s="584">
        <v>13</v>
      </c>
      <c r="D8" s="582">
        <v>8</v>
      </c>
      <c r="E8" s="510"/>
      <c r="F8" s="224">
        <v>1</v>
      </c>
      <c r="G8" s="510" t="str">
        <f>IF(AND(COUNT(F7:F10)=2,F8=MAX(F7:F10),COUNT(C8:F8)=3),A6&amp;"2",IF(AND(COUNT(E7:E10)=2,ISNUMBER(E8),E8=MIN(E7:E10),D8="",F8=""),A6&amp;"4",IF(AND(COUNT(D7:D10)=2,D8=MAX(D7:D10),E8="",F8=""),A6&amp;"1",IF(COUNT(F7:F10)=2,A6&amp;"3",""))))</f>
        <v>A3</v>
      </c>
    </row>
    <row r="9" spans="1:14" s="506" customFormat="1" x14ac:dyDescent="0.2">
      <c r="A9" s="580">
        <v>3</v>
      </c>
      <c r="B9" s="518" t="s">
        <v>93</v>
      </c>
      <c r="C9" s="584">
        <v>10</v>
      </c>
      <c r="D9" s="510"/>
      <c r="E9" s="510">
        <v>13</v>
      </c>
      <c r="F9" s="224">
        <v>13</v>
      </c>
      <c r="G9" s="510" t="str">
        <f>IF(AND(COUNT(F7:F10)=2,F9=MAX(F7:F10),COUNT(C9:F9)=3),A6&amp;"2",IF(AND(COUNT(E7:E10)=2,ISNUMBER(E9),E9=MIN(E7:E10),D9="",F9=""),A6&amp;"4",IF(AND(COUNT(D7:D10)=2,D9=MAX(D7:D10),E9="",F9=""),A6&amp;"1",IF(COUNT(F7:F10)=2,A6&amp;"3",""))))</f>
        <v>A2</v>
      </c>
    </row>
    <row r="10" spans="1:14" s="506" customFormat="1" x14ac:dyDescent="0.2">
      <c r="A10" s="580">
        <v>4</v>
      </c>
      <c r="B10" s="585" t="s">
        <v>31</v>
      </c>
      <c r="C10" s="582">
        <f>IF(B10="-",0,"")</f>
        <v>0</v>
      </c>
      <c r="D10" s="582"/>
      <c r="E10" s="510">
        <f>IF(B10="-",0,"")</f>
        <v>0</v>
      </c>
      <c r="F10" s="224"/>
      <c r="G10" s="510" t="str">
        <f>IF(AND(COUNT(F7:F10)=2,F10=MAX(F7:F10),COUNT(C10:F10)=3),A6&amp;"2",IF(AND(COUNT(E7:E10)=2,ISNUMBER(E10),E10=MIN(E7:E10),D10="",F10=""),A6&amp;"4",IF(AND(COUNT(D7:D10)=2,D10=MAX(D7:D10),E10="",F10=""),A6&amp;"1",IF(COUNT(F7:F10)=2,A6&amp;"3",""))))</f>
        <v>A4</v>
      </c>
    </row>
    <row r="11" spans="1:14" s="506" customFormat="1" x14ac:dyDescent="0.2">
      <c r="A11" s="32"/>
      <c r="B11" s="586"/>
      <c r="C11" s="32"/>
      <c r="D11" s="32"/>
      <c r="E11" s="32"/>
      <c r="F11" s="32"/>
      <c r="G11" s="586" t="s">
        <v>31</v>
      </c>
    </row>
    <row r="12" spans="1:14" s="506" customFormat="1" x14ac:dyDescent="0.2">
      <c r="A12" s="580" t="s">
        <v>141</v>
      </c>
      <c r="B12" s="581"/>
      <c r="C12" s="501" t="s">
        <v>409</v>
      </c>
      <c r="D12" s="580" t="s">
        <v>410</v>
      </c>
      <c r="E12" s="580" t="s">
        <v>411</v>
      </c>
      <c r="F12" s="501" t="s">
        <v>412</v>
      </c>
      <c r="G12" s="501" t="s">
        <v>26</v>
      </c>
    </row>
    <row r="13" spans="1:14" s="498" customFormat="1" x14ac:dyDescent="0.2">
      <c r="A13" s="580">
        <v>1</v>
      </c>
      <c r="B13" s="849" t="s">
        <v>96</v>
      </c>
      <c r="C13" s="582">
        <v>7</v>
      </c>
      <c r="D13" s="582"/>
      <c r="E13" s="510">
        <v>4</v>
      </c>
      <c r="F13" s="224"/>
      <c r="G13" s="510" t="str">
        <f>IF(AND(COUNT(F13:F16)=2,F13=MAX(F13:F16),COUNT(C13:F13)=3),A12&amp;"2",IF(AND(COUNT(E13:E16)=2,ISNUMBER(E13),E13=MIN(E13:E16),D13="",F13=""),A12&amp;"4",IF(AND(COUNT(D13:D16)=2,D13=MAX(D13:D16),E13="",F13=""),A12&amp;"1",IF(COUNT(F13:F16)=2,A12&amp;"3",""))))</f>
        <v>B4</v>
      </c>
      <c r="H13" s="506"/>
      <c r="I13" s="506"/>
      <c r="N13" s="506"/>
    </row>
    <row r="14" spans="1:14" s="498" customFormat="1" x14ac:dyDescent="0.2">
      <c r="A14" s="580">
        <v>2</v>
      </c>
      <c r="B14" s="850" t="s">
        <v>94</v>
      </c>
      <c r="C14" s="584">
        <v>8</v>
      </c>
      <c r="D14" s="582"/>
      <c r="E14" s="510">
        <v>13</v>
      </c>
      <c r="F14" s="224">
        <v>13</v>
      </c>
      <c r="G14" s="510" t="str">
        <f>IF(AND(COUNT(F13:F16)=2,F14=MAX(F13:F16),COUNT(C14:F14)=3),A12&amp;"2",IF(AND(COUNT(E13:E16)=2,ISNUMBER(E14),E14=MIN(E13:E16),D14="",F14=""),A12&amp;"4",IF(AND(COUNT(D13:D16)=2,D14=MAX(D13:D16),E14="",F14=""),A12&amp;"1",IF(COUNT(F13:F16)=2,A12&amp;"3",""))))</f>
        <v>B2</v>
      </c>
      <c r="H14" s="506"/>
      <c r="I14" s="506"/>
      <c r="N14" s="506"/>
    </row>
    <row r="15" spans="1:14" s="498" customFormat="1" x14ac:dyDescent="0.2">
      <c r="A15" s="580">
        <v>3</v>
      </c>
      <c r="B15" s="841" t="s">
        <v>91</v>
      </c>
      <c r="C15" s="584">
        <v>13</v>
      </c>
      <c r="D15" s="510">
        <v>13</v>
      </c>
      <c r="E15" s="510"/>
      <c r="F15" s="224"/>
      <c r="G15" s="510" t="str">
        <f>IF(AND(COUNT(F13:F16)=2,F15=MAX(F13:F16),COUNT(C15:F15)=3),A12&amp;"2",IF(AND(COUNT(E13:E16)=2,ISNUMBER(E15),E15=MIN(E13:E16),D15="",F15=""),A12&amp;"4",IF(AND(COUNT(D13:D16)=2,D15=MAX(D13:D16),E15="",F15=""),A12&amp;"1",IF(COUNT(F13:F16)=2,A12&amp;"3",""))))</f>
        <v>B1</v>
      </c>
      <c r="H15" s="506"/>
      <c r="I15" s="506"/>
      <c r="N15" s="506"/>
    </row>
    <row r="16" spans="1:14" s="498" customFormat="1" x14ac:dyDescent="0.2">
      <c r="A16" s="580">
        <v>4</v>
      </c>
      <c r="B16" s="521" t="s">
        <v>104</v>
      </c>
      <c r="C16" s="582" t="str">
        <f>IF(B16="-",0,"")</f>
        <v/>
      </c>
      <c r="D16" s="582">
        <v>4</v>
      </c>
      <c r="E16" s="510" t="str">
        <f>IF(B22="-",0,"")</f>
        <v/>
      </c>
      <c r="F16" s="224">
        <v>3</v>
      </c>
      <c r="G16" s="510" t="str">
        <f>IF(AND(COUNT(F13:F16)=2,F16=MAX(F13:F16),COUNT(C16:F16)=3),A12&amp;"2",IF(AND(COUNT(E13:E16)=2,ISNUMBER(E16),E16=MIN(E13:E16),D16="",F16=""),A12&amp;"4",IF(AND(COUNT(D13:D16)=2,D16=MAX(D13:D16),E16="",F16=""),A12&amp;"1",IF(COUNT(F13:F16)=2,A12&amp;"3",""))))</f>
        <v>B3</v>
      </c>
      <c r="N16" s="506"/>
    </row>
    <row r="17" spans="1:14" s="498" customFormat="1" x14ac:dyDescent="0.2">
      <c r="A17" s="32"/>
      <c r="B17" s="32"/>
      <c r="C17" s="32"/>
      <c r="D17" s="32"/>
      <c r="E17" s="32"/>
      <c r="F17" s="32"/>
      <c r="G17" s="32"/>
      <c r="N17" s="506"/>
    </row>
    <row r="18" spans="1:14" s="498" customFormat="1" x14ac:dyDescent="0.2">
      <c r="A18" s="580" t="s">
        <v>142</v>
      </c>
      <c r="B18" s="581"/>
      <c r="C18" s="501" t="s">
        <v>409</v>
      </c>
      <c r="D18" s="580" t="s">
        <v>410</v>
      </c>
      <c r="E18" s="580" t="s">
        <v>411</v>
      </c>
      <c r="F18" s="501" t="s">
        <v>412</v>
      </c>
      <c r="G18" s="501" t="s">
        <v>26</v>
      </c>
      <c r="H18" s="55"/>
      <c r="N18" s="506"/>
    </row>
    <row r="19" spans="1:14" s="506" customFormat="1" x14ac:dyDescent="0.2">
      <c r="A19" s="580">
        <v>1</v>
      </c>
      <c r="B19" s="841" t="s">
        <v>99</v>
      </c>
      <c r="C19" s="582">
        <v>13</v>
      </c>
      <c r="D19" s="582">
        <v>13</v>
      </c>
      <c r="E19" s="510"/>
      <c r="F19" s="224"/>
      <c r="G19" s="510" t="str">
        <f>IF(AND(COUNT(F19:F22)=2,F19=MAX(F19:F22),COUNT(C19:F19)=3),A18&amp;"2",IF(AND(COUNT(E19:E22)=2,ISNUMBER(E19),E19=MIN(E19:E22),D19="",F19=""),A18&amp;"4",IF(AND(COUNT(D19:D22)=2,D19=MAX(D19:D22),E19="",F19=""),A18&amp;"1",IF(COUNT(F19:F22)=2,A18&amp;"3",""))))</f>
        <v>C1</v>
      </c>
      <c r="H19" s="55"/>
    </row>
    <row r="20" spans="1:14" s="498" customFormat="1" x14ac:dyDescent="0.2">
      <c r="A20" s="580">
        <v>2</v>
      </c>
      <c r="B20" s="849" t="s">
        <v>95</v>
      </c>
      <c r="C20" s="584">
        <v>8</v>
      </c>
      <c r="D20" s="582"/>
      <c r="E20" s="510">
        <v>13</v>
      </c>
      <c r="F20" s="224">
        <v>13</v>
      </c>
      <c r="G20" s="510" t="str">
        <f>IF(AND(COUNT(F19:F22)=2,F20=MAX(F19:F22),COUNT(C20:F20)=3),A18&amp;"2",IF(AND(COUNT(E19:E22)=2,ISNUMBER(E20),E20=MIN(E19:E22),D20="",F20=""),A18&amp;"4",IF(AND(COUNT(D19:D22)=2,D20=MAX(D19:D22),E20="",F20=""),A18&amp;"1",IF(COUNT(F19:F22)=2,A18&amp;"3",""))))</f>
        <v>C2</v>
      </c>
      <c r="H20" s="55"/>
      <c r="N20" s="506"/>
    </row>
    <row r="21" spans="1:14" s="498" customFormat="1" x14ac:dyDescent="0.2">
      <c r="A21" s="580">
        <v>3</v>
      </c>
      <c r="B21" s="518" t="s">
        <v>102</v>
      </c>
      <c r="C21" s="584">
        <v>13</v>
      </c>
      <c r="D21" s="510">
        <v>12</v>
      </c>
      <c r="E21" s="510"/>
      <c r="F21" s="224">
        <v>4</v>
      </c>
      <c r="G21" s="510" t="str">
        <f>IF(AND(COUNT(F19:F22)=2,F21=MAX(F19:F22),COUNT(C21:F21)=3),A18&amp;"2",IF(AND(COUNT(E19:E22)=2,ISNUMBER(E21),E21=MIN(E19:E22),D21="",F21=""),A18&amp;"4",IF(AND(COUNT(D19:D22)=2,D21=MAX(D19:D22),E21="",F21=""),A18&amp;"1",IF(COUNT(F19:F22)=2,A18&amp;"3",""))))</f>
        <v>C3</v>
      </c>
      <c r="H21" s="55"/>
      <c r="N21" s="506"/>
    </row>
    <row r="22" spans="1:14" s="498" customFormat="1" x14ac:dyDescent="0.2">
      <c r="A22" s="580">
        <v>4</v>
      </c>
      <c r="B22" s="518" t="s">
        <v>97</v>
      </c>
      <c r="C22" s="582">
        <v>8</v>
      </c>
      <c r="D22" s="582"/>
      <c r="E22" s="510">
        <v>8</v>
      </c>
      <c r="F22" s="224"/>
      <c r="G22" s="510" t="str">
        <f>IF(AND(COUNT(F19:F22)=2,F22=MAX(F19:F22),COUNT(C22:F22)=3),A18&amp;"2",IF(AND(COUNT(E19:E22)=2,ISNUMBER(E22),E22=MIN(E19:E22),D22="",F22=""),A18&amp;"4",IF(AND(COUNT(D19:D22)=2,D22=MAX(D19:D22),E22="",F22=""),A18&amp;"1",IF(COUNT(F19:F22)=2,A18&amp;"3",""))))</f>
        <v>C4</v>
      </c>
      <c r="H22" s="55"/>
      <c r="N22" s="506"/>
    </row>
    <row r="23" spans="1:14" s="498" customFormat="1" hidden="1" x14ac:dyDescent="0.2">
      <c r="A23" s="506"/>
      <c r="B23" s="506"/>
      <c r="C23" s="506"/>
      <c r="D23" s="506"/>
      <c r="E23" s="506"/>
      <c r="F23" s="506"/>
      <c r="G23" s="506"/>
      <c r="H23" s="506"/>
      <c r="I23" s="506"/>
      <c r="N23" s="506"/>
    </row>
    <row r="24" spans="1:14" s="498" customFormat="1" hidden="1" x14ac:dyDescent="0.2">
      <c r="A24" s="580" t="s">
        <v>143</v>
      </c>
      <c r="B24" s="581"/>
      <c r="C24" s="501" t="s">
        <v>409</v>
      </c>
      <c r="D24" s="580" t="s">
        <v>410</v>
      </c>
      <c r="E24" s="580" t="s">
        <v>411</v>
      </c>
      <c r="F24" s="501" t="s">
        <v>412</v>
      </c>
      <c r="G24" s="501" t="s">
        <v>26</v>
      </c>
      <c r="H24" s="506"/>
      <c r="I24" s="506"/>
      <c r="N24" s="506"/>
    </row>
    <row r="25" spans="1:14" s="498" customFormat="1" hidden="1" x14ac:dyDescent="0.2">
      <c r="A25" s="580">
        <v>1</v>
      </c>
      <c r="B25" s="177"/>
      <c r="C25" s="582" t="str">
        <f>IF(B28="-",13,"")</f>
        <v/>
      </c>
      <c r="D25" s="582"/>
      <c r="E25" s="510"/>
      <c r="F25" s="224"/>
      <c r="G25" s="510" t="str">
        <f>IF(AND(COUNT(F25:F28)=2,F25=MAX(F25:F28),COUNT(C25:F25)=3),A24&amp;"2",IF(AND(COUNT(E25:E28)=2,ISNUMBER(E25),E25=MIN(E25:E28),D25="",F25=""),A24&amp;"4",IF(AND(COUNT(D25:D28)=2,D25=MAX(D25:D28),E25="",F25=""),A24&amp;"1",IF(COUNT(F25:F28)=2,A24&amp;"3",""))))</f>
        <v/>
      </c>
      <c r="H25" s="506"/>
      <c r="I25" s="506"/>
    </row>
    <row r="26" spans="1:14" s="498" customFormat="1" hidden="1" x14ac:dyDescent="0.2">
      <c r="A26" s="580">
        <v>2</v>
      </c>
      <c r="B26" s="583"/>
      <c r="C26" s="584"/>
      <c r="D26" s="582"/>
      <c r="E26" s="510" t="str">
        <f>IF(AND(B28="-",ISNUMBER(C26),C26&lt;C27),13,"")</f>
        <v/>
      </c>
      <c r="F26" s="224"/>
      <c r="G26" s="510" t="str">
        <f>IF(AND(COUNT(F25:F28)=2,F26=MAX(F25:F28),COUNT(C26:F26)=3),A24&amp;"2",IF(AND(COUNT(E25:E28)=2,ISNUMBER(E26),E26=MIN(E25:E28),D26="",F26=""),A24&amp;"4",IF(AND(COUNT(D25:D28)=2,D26=MAX(D25:D28),E26="",F26=""),A24&amp;"1",IF(COUNT(F25:F28)=2,A24&amp;"3",""))))</f>
        <v/>
      </c>
      <c r="H26" s="506"/>
      <c r="I26" s="506"/>
    </row>
    <row r="27" spans="1:14" s="506" customFormat="1" hidden="1" x14ac:dyDescent="0.2">
      <c r="A27" s="580">
        <v>3</v>
      </c>
      <c r="B27" s="583"/>
      <c r="C27" s="584"/>
      <c r="D27" s="510"/>
      <c r="E27" s="510" t="str">
        <f>IF(AND(B28="-",ISNUMBER(C27),C27&lt;C26),13,"")</f>
        <v/>
      </c>
      <c r="F27" s="224"/>
      <c r="G27" s="510" t="str">
        <f>IF(AND(COUNT(F25:F28)=2,F27=MAX(F25:F28),COUNT(C27:F27)=3),A24&amp;"2",IF(AND(COUNT(E25:E28)=2,ISNUMBER(E27),E27=MIN(E25:E28),D27="",F27=""),A24&amp;"4",IF(AND(COUNT(D25:D28)=2,D27=MAX(D25:D28),E27="",F27=""),A24&amp;"1",IF(COUNT(F25:F28)=2,A24&amp;"3",""))))</f>
        <v/>
      </c>
    </row>
    <row r="28" spans="1:14" s="506" customFormat="1" hidden="1" x14ac:dyDescent="0.2">
      <c r="A28" s="580">
        <v>4</v>
      </c>
      <c r="B28" s="585"/>
      <c r="C28" s="582" t="str">
        <f>IF(B28="-",0,"")</f>
        <v/>
      </c>
      <c r="D28" s="582"/>
      <c r="E28" s="510" t="str">
        <f>IF(B28="-",0,"")</f>
        <v/>
      </c>
      <c r="F28" s="224"/>
      <c r="G28" s="510" t="str">
        <f>IF(AND(COUNT(F25:F28)=2,F28=MAX(F25:F28),COUNT(C28:F28)=3),A24&amp;"2",IF(AND(COUNT(E25:E28)=2,ISNUMBER(E28),E28=MIN(E25:E28),D28="",F28=""),A24&amp;"4",IF(AND(COUNT(D25:D28)=2,D28=MAX(D25:D28),E28="",F28=""),A24&amp;"1",IF(COUNT(F25:F28)=2,A24&amp;"3",""))))</f>
        <v/>
      </c>
    </row>
    <row r="29" spans="1:14" s="506" customFormat="1" hidden="1" x14ac:dyDescent="0.2"/>
    <row r="30" spans="1:14" s="506" customFormat="1" hidden="1" x14ac:dyDescent="0.2"/>
    <row r="31" spans="1:14" s="506" customFormat="1" hidden="1" x14ac:dyDescent="0.2"/>
    <row r="32" spans="1:14" s="506" customFormat="1" hidden="1" x14ac:dyDescent="0.2"/>
    <row r="33" spans="1:9" s="506" customFormat="1" hidden="1" x14ac:dyDescent="0.2"/>
    <row r="34" spans="1:9" s="506" customFormat="1" hidden="1" x14ac:dyDescent="0.2"/>
    <row r="35" spans="1:9" s="506" customFormat="1" hidden="1" x14ac:dyDescent="0.2"/>
    <row r="36" spans="1:9" s="506" customFormat="1" hidden="1" x14ac:dyDescent="0.2"/>
    <row r="37" spans="1:9" s="506" customFormat="1" hidden="1" x14ac:dyDescent="0.2"/>
    <row r="38" spans="1:9" s="506" customFormat="1" hidden="1" x14ac:dyDescent="0.2"/>
    <row r="39" spans="1:9" s="506" customFormat="1" hidden="1" x14ac:dyDescent="0.2"/>
    <row r="40" spans="1:9" s="506" customFormat="1" hidden="1" x14ac:dyDescent="0.2"/>
    <row r="41" spans="1:9" s="498" customFormat="1" hidden="1" x14ac:dyDescent="0.2">
      <c r="A41" s="506"/>
      <c r="B41" s="506"/>
      <c r="C41" s="506"/>
      <c r="D41" s="506"/>
      <c r="E41" s="506"/>
      <c r="F41" s="506"/>
      <c r="G41" s="506"/>
      <c r="H41" s="506"/>
      <c r="I41" s="506"/>
    </row>
    <row r="42" spans="1:9" s="498" customFormat="1" hidden="1" x14ac:dyDescent="0.2">
      <c r="A42" s="506"/>
      <c r="B42" s="506"/>
      <c r="C42" s="506"/>
      <c r="D42" s="506"/>
      <c r="E42" s="506"/>
      <c r="F42" s="506"/>
      <c r="G42" s="506"/>
      <c r="H42" s="506"/>
      <c r="I42" s="506"/>
    </row>
    <row r="43" spans="1:9" s="498" customFormat="1" hidden="1" x14ac:dyDescent="0.2">
      <c r="A43" s="506"/>
      <c r="B43" s="506"/>
      <c r="C43" s="506"/>
      <c r="D43" s="506"/>
      <c r="E43" s="506"/>
      <c r="F43" s="506"/>
      <c r="G43" s="506"/>
      <c r="H43" s="506"/>
      <c r="I43" s="506"/>
    </row>
    <row r="44" spans="1:9" s="498" customFormat="1" hidden="1" x14ac:dyDescent="0.2">
      <c r="A44" s="506"/>
      <c r="B44" s="506"/>
      <c r="C44" s="506"/>
      <c r="D44" s="506"/>
      <c r="E44" s="506"/>
      <c r="F44" s="506"/>
      <c r="G44" s="506"/>
      <c r="H44" s="506"/>
      <c r="I44" s="506"/>
    </row>
    <row r="45" spans="1:9" s="498" customFormat="1" hidden="1" x14ac:dyDescent="0.2">
      <c r="A45" s="506"/>
      <c r="B45" s="506"/>
      <c r="C45" s="506"/>
      <c r="D45" s="506"/>
      <c r="E45" s="506"/>
      <c r="F45" s="506"/>
      <c r="G45" s="506"/>
      <c r="H45" s="506"/>
      <c r="I45" s="506"/>
    </row>
    <row r="46" spans="1:9" s="498" customFormat="1" hidden="1" x14ac:dyDescent="0.2">
      <c r="A46" s="506"/>
      <c r="B46" s="506"/>
      <c r="C46" s="506"/>
      <c r="D46" s="506"/>
      <c r="E46" s="506"/>
      <c r="F46" s="506"/>
      <c r="G46" s="506"/>
      <c r="H46" s="506"/>
      <c r="I46" s="506"/>
    </row>
    <row r="47" spans="1:9" s="506" customFormat="1" hidden="1" x14ac:dyDescent="0.2"/>
    <row r="48" spans="1:9" s="498" customFormat="1" hidden="1" x14ac:dyDescent="0.2">
      <c r="A48" s="506"/>
      <c r="B48" s="506"/>
      <c r="C48" s="506"/>
      <c r="D48" s="506"/>
      <c r="E48" s="506"/>
      <c r="F48" s="506"/>
      <c r="G48" s="506"/>
      <c r="H48" s="506"/>
      <c r="I48" s="506"/>
    </row>
    <row r="49" spans="1:9" s="498" customFormat="1" hidden="1" x14ac:dyDescent="0.2">
      <c r="A49" s="506"/>
      <c r="B49" s="506"/>
      <c r="C49" s="506"/>
      <c r="D49" s="506"/>
      <c r="E49" s="506"/>
      <c r="F49" s="506"/>
      <c r="G49" s="506"/>
      <c r="H49" s="506"/>
      <c r="I49" s="506"/>
    </row>
    <row r="50" spans="1:9" s="498" customFormat="1" hidden="1" x14ac:dyDescent="0.2">
      <c r="A50" s="506"/>
      <c r="B50" s="506"/>
      <c r="C50" s="506"/>
      <c r="D50" s="506"/>
      <c r="E50" s="506"/>
      <c r="F50" s="506"/>
      <c r="G50" s="506"/>
      <c r="H50" s="506"/>
      <c r="I50" s="506"/>
    </row>
    <row r="51" spans="1:9" s="498" customFormat="1" hidden="1" x14ac:dyDescent="0.2">
      <c r="A51" s="506"/>
      <c r="B51" s="506"/>
      <c r="C51" s="506"/>
      <c r="D51" s="506"/>
      <c r="E51" s="506"/>
      <c r="F51" s="506"/>
      <c r="G51" s="506"/>
      <c r="H51" s="506"/>
      <c r="I51" s="506"/>
    </row>
    <row r="52" spans="1:9" s="498" customFormat="1" hidden="1" x14ac:dyDescent="0.2">
      <c r="A52" s="506"/>
      <c r="B52" s="506"/>
      <c r="C52" s="506"/>
      <c r="D52" s="506"/>
      <c r="E52" s="506"/>
      <c r="F52" s="506"/>
      <c r="G52" s="506"/>
      <c r="H52" s="506"/>
      <c r="I52" s="506"/>
    </row>
    <row r="53" spans="1:9" s="498" customFormat="1" hidden="1" x14ac:dyDescent="0.2">
      <c r="A53" s="506"/>
      <c r="B53" s="506"/>
      <c r="C53" s="506"/>
      <c r="D53" s="506"/>
      <c r="E53" s="506"/>
      <c r="F53" s="506"/>
      <c r="G53" s="506"/>
      <c r="H53" s="506"/>
      <c r="I53" s="506"/>
    </row>
    <row r="54" spans="1:9" s="498" customFormat="1" hidden="1" x14ac:dyDescent="0.2">
      <c r="A54" s="506"/>
      <c r="B54" s="506"/>
      <c r="C54" s="506"/>
      <c r="D54" s="506"/>
      <c r="E54" s="506"/>
      <c r="F54" s="506"/>
      <c r="G54" s="506"/>
      <c r="H54" s="506"/>
      <c r="I54" s="506"/>
    </row>
    <row r="55" spans="1:9" s="506" customFormat="1" hidden="1" x14ac:dyDescent="0.2"/>
    <row r="56" spans="1:9" s="506" customFormat="1" hidden="1" x14ac:dyDescent="0.2"/>
    <row r="57" spans="1:9" s="506" customFormat="1" hidden="1" x14ac:dyDescent="0.2"/>
    <row r="58" spans="1:9" s="506" customFormat="1" hidden="1" x14ac:dyDescent="0.2"/>
    <row r="59" spans="1:9" s="506" customFormat="1" hidden="1" x14ac:dyDescent="0.2"/>
    <row r="60" spans="1:9" s="506" customFormat="1" hidden="1" x14ac:dyDescent="0.2"/>
    <row r="61" spans="1:9" s="55" customFormat="1" hidden="1" x14ac:dyDescent="0.2">
      <c r="A61" s="506"/>
      <c r="B61" s="506"/>
      <c r="C61" s="506"/>
      <c r="D61" s="506"/>
      <c r="E61" s="506"/>
      <c r="F61" s="506"/>
      <c r="G61" s="506"/>
      <c r="H61" s="506"/>
      <c r="I61" s="506"/>
    </row>
    <row r="62" spans="1:9" s="55" customFormat="1" hidden="1" x14ac:dyDescent="0.2">
      <c r="A62" s="506"/>
      <c r="B62" s="506"/>
      <c r="C62" s="506"/>
      <c r="D62" s="506"/>
      <c r="E62" s="506"/>
      <c r="F62" s="506"/>
      <c r="G62" s="506"/>
      <c r="H62" s="506"/>
      <c r="I62" s="506"/>
    </row>
    <row r="63" spans="1:9" s="55" customFormat="1" hidden="1" x14ac:dyDescent="0.2">
      <c r="A63" s="506"/>
      <c r="B63" s="506"/>
      <c r="C63" s="506"/>
      <c r="D63" s="506"/>
      <c r="E63" s="506"/>
      <c r="F63" s="506"/>
      <c r="G63" s="506"/>
      <c r="H63" s="506"/>
      <c r="I63" s="506"/>
    </row>
    <row r="64" spans="1:9" s="55" customFormat="1" hidden="1" x14ac:dyDescent="0.2">
      <c r="A64" s="506"/>
      <c r="B64" s="506"/>
      <c r="C64" s="506"/>
      <c r="D64" s="506"/>
      <c r="E64" s="506"/>
      <c r="F64" s="506"/>
      <c r="G64" s="506"/>
      <c r="H64" s="506"/>
      <c r="I64" s="506"/>
    </row>
    <row r="65" spans="1:9" s="55" customFormat="1" hidden="1" x14ac:dyDescent="0.2">
      <c r="A65" s="506"/>
      <c r="B65" s="506"/>
      <c r="C65" s="506"/>
      <c r="D65" s="506"/>
      <c r="E65" s="506"/>
      <c r="F65" s="506"/>
      <c r="G65" s="506"/>
      <c r="H65" s="506"/>
      <c r="I65" s="506"/>
    </row>
    <row r="66" spans="1:9" s="55" customFormat="1" hidden="1" x14ac:dyDescent="0.2"/>
    <row r="67" spans="1:9" s="55" customFormat="1" hidden="1" x14ac:dyDescent="0.2"/>
    <row r="68" spans="1:9" s="55" customFormat="1" hidden="1" x14ac:dyDescent="0.2"/>
    <row r="69" spans="1:9" s="55" customFormat="1" hidden="1" x14ac:dyDescent="0.2"/>
    <row r="70" spans="1:9" s="55" customFormat="1" hidden="1" x14ac:dyDescent="0.2"/>
    <row r="71" spans="1:9" s="55" customFormat="1" hidden="1" x14ac:dyDescent="0.2"/>
    <row r="72" spans="1:9" s="55" customFormat="1" hidden="1" x14ac:dyDescent="0.2"/>
    <row r="73" spans="1:9" s="55" customFormat="1" hidden="1" x14ac:dyDescent="0.2"/>
    <row r="74" spans="1:9" s="55" customFormat="1" hidden="1" x14ac:dyDescent="0.2"/>
    <row r="75" spans="1:9" s="55" customFormat="1" hidden="1" x14ac:dyDescent="0.2"/>
    <row r="76" spans="1:9" s="55" customFormat="1" hidden="1" x14ac:dyDescent="0.2"/>
    <row r="77" spans="1:9" s="55" customFormat="1" hidden="1" x14ac:dyDescent="0.2"/>
    <row r="78" spans="1:9" s="55" customFormat="1" hidden="1" x14ac:dyDescent="0.2"/>
    <row r="79" spans="1:9" s="55" customFormat="1" hidden="1" x14ac:dyDescent="0.2"/>
    <row r="80" spans="1:9" s="55" customFormat="1" hidden="1" x14ac:dyDescent="0.2"/>
    <row r="81" spans="1:9" s="55" customFormat="1" hidden="1" x14ac:dyDescent="0.2"/>
    <row r="82" spans="1:9" s="55" customFormat="1" hidden="1" x14ac:dyDescent="0.2"/>
    <row r="83" spans="1:9" s="55" customFormat="1" hidden="1" x14ac:dyDescent="0.2"/>
    <row r="84" spans="1:9" s="55" customFormat="1" hidden="1" x14ac:dyDescent="0.2"/>
    <row r="85" spans="1:9" s="55" customFormat="1" hidden="1" x14ac:dyDescent="0.2"/>
    <row r="86" spans="1:9" s="55" customFormat="1" hidden="1" x14ac:dyDescent="0.2"/>
    <row r="87" spans="1:9" s="55" customFormat="1" hidden="1" x14ac:dyDescent="0.2"/>
    <row r="88" spans="1:9" s="55" customFormat="1" hidden="1" x14ac:dyDescent="0.2"/>
    <row r="89" spans="1:9" s="55" customFormat="1" hidden="1" x14ac:dyDescent="0.2"/>
    <row r="90" spans="1:9" s="55" customFormat="1" hidden="1" x14ac:dyDescent="0.2"/>
    <row r="91" spans="1:9" s="55" customFormat="1" hidden="1" x14ac:dyDescent="0.2"/>
    <row r="92" spans="1:9" s="55" customFormat="1" hidden="1" x14ac:dyDescent="0.2">
      <c r="A92" s="32"/>
      <c r="B92" s="32"/>
      <c r="C92" s="32"/>
      <c r="D92" s="32"/>
      <c r="E92" s="32"/>
      <c r="F92" s="32"/>
      <c r="G92" s="32"/>
      <c r="H92" s="32"/>
      <c r="I92" s="32"/>
    </row>
    <row r="93" spans="1:9" s="55" customFormat="1" hidden="1" x14ac:dyDescent="0.2">
      <c r="A93" s="32"/>
      <c r="B93" s="32"/>
      <c r="C93" s="32"/>
      <c r="D93" s="32"/>
      <c r="E93" s="32"/>
      <c r="F93" s="32"/>
      <c r="G93" s="32"/>
      <c r="H93" s="32"/>
      <c r="I93" s="32"/>
    </row>
    <row r="94" spans="1:9" s="55" customFormat="1" hidden="1" x14ac:dyDescent="0.2"/>
    <row r="95" spans="1:9" s="552" customFormat="1" hidden="1" x14ac:dyDescent="0.2"/>
    <row r="96" spans="1:9" hidden="1" x14ac:dyDescent="0.2">
      <c r="A96" s="32"/>
      <c r="B96" s="32"/>
      <c r="C96" s="32"/>
      <c r="D96" s="32"/>
      <c r="E96" s="32"/>
      <c r="F96" s="32"/>
      <c r="G96" s="32"/>
      <c r="H96" s="32"/>
      <c r="I96" s="32"/>
    </row>
    <row r="97" spans="1:14" hidden="1" x14ac:dyDescent="0.2">
      <c r="A97" s="32"/>
      <c r="B97" s="32"/>
      <c r="C97" s="32"/>
      <c r="D97" s="32"/>
      <c r="E97" s="32"/>
      <c r="F97" s="32"/>
      <c r="G97" s="32"/>
      <c r="H97" s="32"/>
      <c r="I97" s="32"/>
    </row>
    <row r="98" spans="1:14" hidden="1" x14ac:dyDescent="0.2">
      <c r="A98" s="32"/>
      <c r="B98" s="32"/>
      <c r="C98" s="32"/>
      <c r="D98" s="32"/>
      <c r="E98" s="32"/>
      <c r="F98" s="32"/>
      <c r="G98" s="32"/>
      <c r="H98" s="32"/>
      <c r="I98" s="32"/>
    </row>
    <row r="100" spans="1:14" x14ac:dyDescent="0.2">
      <c r="A100" s="553" t="s">
        <v>377</v>
      </c>
      <c r="B100" s="554"/>
      <c r="C100" s="55"/>
      <c r="D100" s="525"/>
      <c r="E100" s="525"/>
      <c r="F100" s="527"/>
      <c r="G100" s="550"/>
      <c r="H100" s="55"/>
      <c r="I100" s="55"/>
      <c r="J100" s="506"/>
      <c r="K100" s="506"/>
      <c r="L100" s="506"/>
      <c r="M100" s="506"/>
      <c r="N100" s="506"/>
    </row>
    <row r="101" spans="1:14" x14ac:dyDescent="0.2">
      <c r="A101" s="55"/>
      <c r="B101" s="55"/>
      <c r="C101" s="55"/>
      <c r="D101" s="55"/>
      <c r="E101" s="55"/>
      <c r="F101" s="55"/>
      <c r="G101" s="55"/>
      <c r="H101" s="55"/>
      <c r="I101" s="55"/>
      <c r="J101" s="506"/>
      <c r="K101" s="506"/>
      <c r="L101" s="506"/>
      <c r="M101" s="506"/>
      <c r="N101" s="506"/>
    </row>
    <row r="102" spans="1:14" x14ac:dyDescent="0.2">
      <c r="A102" s="555" t="s">
        <v>378</v>
      </c>
      <c r="B102" s="556" t="str">
        <f>IFERROR(INDEX(B$7:B$28,MATCH(A102,G$7:G$28,0)),"")</f>
        <v>Ivar Viljaste</v>
      </c>
      <c r="C102" s="557">
        <v>13</v>
      </c>
      <c r="D102" s="55"/>
      <c r="E102" s="55"/>
      <c r="F102" s="55"/>
      <c r="G102" s="55"/>
      <c r="H102" s="55"/>
      <c r="I102" s="55"/>
      <c r="J102" s="506"/>
      <c r="K102" s="506"/>
      <c r="L102" s="506"/>
      <c r="M102" s="506"/>
      <c r="N102" s="506"/>
    </row>
    <row r="103" spans="1:14" x14ac:dyDescent="0.2">
      <c r="A103" s="558"/>
      <c r="B103" s="559"/>
      <c r="C103" s="560" t="str">
        <f>IF(COUNT(C102,C104)=2,IF(C102&gt;C104,B102,B104),"")</f>
        <v>Ivar Viljaste</v>
      </c>
      <c r="D103" s="55"/>
      <c r="E103" s="557">
        <v>13</v>
      </c>
      <c r="F103" s="55"/>
      <c r="G103" s="55"/>
      <c r="H103" s="55"/>
      <c r="I103" s="55"/>
      <c r="J103" s="506"/>
      <c r="K103" s="506"/>
      <c r="L103" s="506"/>
      <c r="M103" s="506"/>
      <c r="N103" s="506"/>
    </row>
    <row r="104" spans="1:14" x14ac:dyDescent="0.2">
      <c r="A104" s="558" t="s">
        <v>396</v>
      </c>
      <c r="B104" s="561" t="str">
        <f>IFERROR(INDEX(B$7:B$28,MATCH(A104,G$7:G$28,0)),"")</f>
        <v>Svetlana Veski</v>
      </c>
      <c r="C104" s="562">
        <v>3</v>
      </c>
      <c r="D104" s="563"/>
      <c r="E104" s="55"/>
      <c r="F104" s="55"/>
      <c r="G104" s="55"/>
      <c r="H104" s="55"/>
      <c r="I104" s="55"/>
      <c r="J104" s="506"/>
      <c r="K104" s="506"/>
      <c r="L104" s="506"/>
      <c r="M104" s="506"/>
      <c r="N104" s="506"/>
    </row>
    <row r="105" spans="1:14" x14ac:dyDescent="0.2">
      <c r="A105" s="558"/>
      <c r="B105" s="539"/>
      <c r="C105" s="55"/>
      <c r="D105" s="564"/>
      <c r="E105" s="560" t="str">
        <f>IF(COUNT(E103,E107)=2,IF(E103&gt;E107,C103,C107),"")</f>
        <v>Ivar Viljaste</v>
      </c>
      <c r="F105" s="55"/>
      <c r="G105" s="557">
        <v>13</v>
      </c>
      <c r="H105" s="55"/>
      <c r="I105" s="55"/>
      <c r="J105" s="506"/>
      <c r="K105" s="506"/>
      <c r="L105" s="506"/>
      <c r="M105" s="506"/>
      <c r="N105" s="506"/>
    </row>
    <row r="106" spans="1:14" x14ac:dyDescent="0.2">
      <c r="A106" s="558" t="s">
        <v>384</v>
      </c>
      <c r="B106" s="556" t="str">
        <f>IFERROR(INDEX(B$7:B$28,MATCH(A106,G$7:G$28,0)),"")</f>
        <v>Aarne Välja</v>
      </c>
      <c r="C106" s="557">
        <v>13</v>
      </c>
      <c r="D106" s="564"/>
      <c r="E106" s="565"/>
      <c r="F106" s="563"/>
      <c r="G106" s="55"/>
      <c r="H106" s="55"/>
      <c r="I106" s="55"/>
      <c r="J106" s="506"/>
      <c r="K106" s="506"/>
      <c r="L106" s="506"/>
      <c r="M106" s="506"/>
      <c r="N106" s="506"/>
    </row>
    <row r="107" spans="1:14" x14ac:dyDescent="0.2">
      <c r="A107" s="558"/>
      <c r="B107" s="559"/>
      <c r="C107" s="560" t="str">
        <f>IF(COUNT(C106,C108)=2,IF(C106&gt;C108,B106,B108),"")</f>
        <v>Aarne Välja</v>
      </c>
      <c r="D107" s="566"/>
      <c r="E107" s="562">
        <v>12</v>
      </c>
      <c r="F107" s="564"/>
      <c r="G107" s="55"/>
      <c r="H107" s="55"/>
      <c r="I107" s="55"/>
      <c r="J107" s="506"/>
      <c r="K107" s="506"/>
      <c r="L107" s="506"/>
      <c r="M107" s="506"/>
      <c r="N107" s="506"/>
    </row>
    <row r="108" spans="1:14" x14ac:dyDescent="0.2">
      <c r="A108" s="558" t="s">
        <v>381</v>
      </c>
      <c r="B108" s="561" t="str">
        <f>IFERROR(INDEX(B$7:B$28,MATCH(A108,G$7:G$28,0)),"")</f>
        <v>Boriss Klubov</v>
      </c>
      <c r="C108" s="562">
        <v>11</v>
      </c>
      <c r="D108" s="55"/>
      <c r="E108" s="554"/>
      <c r="F108" s="564"/>
      <c r="G108" s="55"/>
      <c r="H108" s="55"/>
      <c r="I108" s="55"/>
      <c r="J108" s="506"/>
      <c r="K108" s="506"/>
      <c r="L108" s="506"/>
      <c r="M108" s="506"/>
      <c r="N108" s="506"/>
    </row>
    <row r="109" spans="1:14" ht="13.5" thickBot="1" x14ac:dyDescent="0.25">
      <c r="A109" s="538"/>
      <c r="B109" s="539"/>
      <c r="C109" s="55"/>
      <c r="D109" s="55"/>
      <c r="E109" s="554"/>
      <c r="F109" s="564"/>
      <c r="G109" s="55"/>
      <c r="H109" s="567" t="str">
        <f>IF(COUNT(G105,G113)=2,IF(G105&gt;G113,E105,E113),"")</f>
        <v>Ivar Viljaste</v>
      </c>
      <c r="I109" s="55"/>
      <c r="J109" s="506"/>
      <c r="K109" s="506"/>
      <c r="L109" s="506"/>
      <c r="M109" s="506"/>
      <c r="N109" s="506"/>
    </row>
    <row r="110" spans="1:14" x14ac:dyDescent="0.2">
      <c r="A110" s="555" t="s">
        <v>382</v>
      </c>
      <c r="B110" s="556" t="str">
        <f>IFERROR(INDEX(B$7:B$28,MATCH(A110,G$7:G$28,0)),"")</f>
        <v>Elmo Lageda</v>
      </c>
      <c r="C110" s="557">
        <v>11</v>
      </c>
      <c r="D110" s="55"/>
      <c r="E110" s="55"/>
      <c r="F110" s="564"/>
      <c r="G110" s="568"/>
      <c r="H110" s="569" t="s">
        <v>383</v>
      </c>
      <c r="I110" s="570"/>
      <c r="J110" s="506"/>
      <c r="K110" s="506"/>
      <c r="L110" s="506"/>
      <c r="M110" s="506"/>
      <c r="N110" s="506"/>
    </row>
    <row r="111" spans="1:14" x14ac:dyDescent="0.2">
      <c r="A111" s="558"/>
      <c r="B111" s="559"/>
      <c r="C111" s="560" t="str">
        <f>IF(COUNT(C110,C112)=2,IF(C110&gt;C112,B110,B112),"")</f>
        <v>Jaan Sepp</v>
      </c>
      <c r="D111" s="55"/>
      <c r="E111" s="557">
        <v>13</v>
      </c>
      <c r="F111" s="564"/>
      <c r="G111" s="554"/>
      <c r="H111" s="55"/>
      <c r="I111" s="55"/>
      <c r="J111" s="498"/>
      <c r="K111" s="498"/>
      <c r="L111" s="498"/>
      <c r="M111" s="498"/>
      <c r="N111" s="498"/>
    </row>
    <row r="112" spans="1:14" x14ac:dyDescent="0.2">
      <c r="A112" s="558" t="s">
        <v>385</v>
      </c>
      <c r="B112" s="561" t="str">
        <f>IFERROR(INDEX(B$7:B$28,MATCH(A112,G$7:G$28,0)),"")</f>
        <v>Jaan Sepp</v>
      </c>
      <c r="C112" s="562">
        <v>13</v>
      </c>
      <c r="D112" s="563"/>
      <c r="E112" s="55"/>
      <c r="F112" s="564"/>
      <c r="G112" s="554"/>
      <c r="H112" s="55"/>
      <c r="I112" s="55"/>
      <c r="J112" s="498"/>
      <c r="K112" s="498"/>
      <c r="L112" s="498"/>
      <c r="M112" s="498"/>
      <c r="N112" s="498"/>
    </row>
    <row r="113" spans="1:14" x14ac:dyDescent="0.2">
      <c r="A113" s="558"/>
      <c r="B113" s="539"/>
      <c r="C113" s="55"/>
      <c r="D113" s="564"/>
      <c r="E113" s="560" t="str">
        <f>IF(COUNT(E111,E115)=2,IF(E111&gt;E115,C111,C115),"")</f>
        <v>Jaan Sepp</v>
      </c>
      <c r="F113" s="566"/>
      <c r="G113" s="562">
        <v>5</v>
      </c>
      <c r="H113" s="55"/>
      <c r="I113" s="55"/>
      <c r="J113" s="498"/>
      <c r="K113" s="498"/>
      <c r="L113" s="498"/>
      <c r="M113" s="498"/>
      <c r="N113" s="498"/>
    </row>
    <row r="114" spans="1:14" ht="13.5" thickBot="1" x14ac:dyDescent="0.25">
      <c r="A114" s="558" t="s">
        <v>398</v>
      </c>
      <c r="B114" s="556" t="str">
        <f>IFERROR(INDEX(B$7:B$28,MATCH(A114,G$7:G$28,0)),"")</f>
        <v>Vladimir Ogneštšikov</v>
      </c>
      <c r="C114" s="557">
        <v>13</v>
      </c>
      <c r="D114" s="564"/>
      <c r="E114" s="565"/>
      <c r="F114" s="554"/>
      <c r="G114" s="554"/>
      <c r="H114" s="567" t="str">
        <f>IF(COUNT(G105,G113)=2,IF(G105&lt;G113,E105,E113),"")</f>
        <v>Jaan Sepp</v>
      </c>
      <c r="I114" s="571"/>
      <c r="J114" s="498"/>
      <c r="K114" s="498"/>
      <c r="L114" s="498"/>
      <c r="M114" s="498"/>
      <c r="N114" s="498"/>
    </row>
    <row r="115" spans="1:14" x14ac:dyDescent="0.2">
      <c r="A115" s="558"/>
      <c r="B115" s="559"/>
      <c r="C115" s="560" t="str">
        <f>IF(COUNT(C114,C116)=2,IF(C114&gt;C116,B114,B116),"")</f>
        <v>Vladimir Ogneštšikov</v>
      </c>
      <c r="D115" s="566"/>
      <c r="E115" s="562">
        <v>4</v>
      </c>
      <c r="F115" s="55"/>
      <c r="G115" s="554"/>
      <c r="H115" s="569" t="s">
        <v>386</v>
      </c>
      <c r="I115" s="554"/>
      <c r="J115" s="498"/>
      <c r="K115" s="498"/>
      <c r="L115" s="498"/>
      <c r="M115" s="498"/>
      <c r="N115" s="498"/>
    </row>
    <row r="116" spans="1:14" x14ac:dyDescent="0.2">
      <c r="A116" s="558" t="s">
        <v>380</v>
      </c>
      <c r="B116" s="561" t="str">
        <f>IFERROR(INDEX(B$7:B$28,MATCH(A116,G$7:G$28,0)),"")</f>
        <v>Matti Vinni</v>
      </c>
      <c r="C116" s="562">
        <v>11</v>
      </c>
      <c r="D116" s="55"/>
      <c r="E116" s="554"/>
      <c r="F116" s="554"/>
      <c r="G116" s="554"/>
      <c r="H116" s="55"/>
      <c r="I116" s="55"/>
      <c r="J116" s="498"/>
      <c r="K116" s="498"/>
      <c r="L116" s="498"/>
      <c r="M116" s="498"/>
      <c r="N116" s="498"/>
    </row>
    <row r="117" spans="1:14" x14ac:dyDescent="0.2">
      <c r="A117" s="538"/>
      <c r="B117" s="539"/>
      <c r="C117" s="55"/>
      <c r="D117" s="55"/>
      <c r="E117" s="551" t="str">
        <f>IF(COUNT(E103,E107)=2,IF(E103&lt;E107,C103,C107),"")</f>
        <v>Aarne Välja</v>
      </c>
      <c r="F117" s="55"/>
      <c r="G117" s="651">
        <v>13</v>
      </c>
      <c r="H117" s="55"/>
      <c r="I117" s="55"/>
      <c r="J117" s="506"/>
      <c r="K117" s="506"/>
      <c r="L117" s="506"/>
      <c r="M117" s="506"/>
      <c r="N117" s="506"/>
    </row>
    <row r="118" spans="1:14" ht="13.5" thickBot="1" x14ac:dyDescent="0.25">
      <c r="A118" s="55"/>
      <c r="B118" s="55"/>
      <c r="C118" s="55"/>
      <c r="D118" s="55"/>
      <c r="E118" s="587"/>
      <c r="F118" s="563"/>
      <c r="G118" s="571"/>
      <c r="H118" s="567" t="str">
        <f>IF(COUNT(G117,G119)=2,IF(G117&gt;G119,E117,E119),"")</f>
        <v>Aarne Välja</v>
      </c>
      <c r="I118" s="571"/>
      <c r="J118" s="498"/>
      <c r="K118" s="498"/>
      <c r="L118" s="498"/>
      <c r="M118" s="498"/>
      <c r="N118" s="498"/>
    </row>
    <row r="119" spans="1:14" x14ac:dyDescent="0.2">
      <c r="A119" s="55"/>
      <c r="B119" s="55"/>
      <c r="C119" s="55"/>
      <c r="D119" s="55"/>
      <c r="E119" s="572" t="str">
        <f>IF(COUNT(E111,E115)=2,IF(E111&lt;E115,C111,C115),"")</f>
        <v>Vladimir Ogneštšikov</v>
      </c>
      <c r="F119" s="566"/>
      <c r="G119" s="562">
        <v>10</v>
      </c>
      <c r="H119" s="523" t="s">
        <v>388</v>
      </c>
      <c r="I119" s="554"/>
      <c r="J119" s="498"/>
      <c r="K119" s="498"/>
      <c r="L119" s="498"/>
      <c r="M119" s="498"/>
      <c r="N119" s="498"/>
    </row>
    <row r="120" spans="1:14" x14ac:dyDescent="0.2">
      <c r="A120" s="55"/>
      <c r="B120" s="55"/>
      <c r="C120" s="55"/>
      <c r="D120" s="55"/>
      <c r="E120" s="55"/>
      <c r="F120" s="55"/>
      <c r="G120" s="55"/>
      <c r="H120" s="554"/>
      <c r="I120" s="554"/>
      <c r="J120" s="498"/>
      <c r="K120" s="498"/>
      <c r="L120" s="498"/>
      <c r="M120" s="498"/>
      <c r="N120" s="498"/>
    </row>
    <row r="121" spans="1:14" ht="13.5" thickBot="1" x14ac:dyDescent="0.25">
      <c r="A121" s="55"/>
      <c r="B121" s="55"/>
      <c r="C121" s="55"/>
      <c r="D121" s="55"/>
      <c r="E121" s="554"/>
      <c r="F121" s="554"/>
      <c r="G121" s="55"/>
      <c r="H121" s="567" t="str">
        <f>IF(COUNT(G117,G119)=2,IF(G117&lt;G119,E117,E119),"")</f>
        <v>Vladimir Ogneštšikov</v>
      </c>
      <c r="I121" s="571"/>
      <c r="J121" s="498"/>
      <c r="K121" s="498"/>
      <c r="L121" s="498"/>
      <c r="M121" s="498"/>
      <c r="N121" s="498"/>
    </row>
    <row r="122" spans="1:14" x14ac:dyDescent="0.2">
      <c r="A122" s="55"/>
      <c r="B122" s="55"/>
      <c r="C122" s="55"/>
      <c r="D122" s="55"/>
      <c r="E122" s="55"/>
      <c r="F122" s="55"/>
      <c r="G122" s="55"/>
      <c r="H122" s="538" t="s">
        <v>389</v>
      </c>
      <c r="I122" s="55"/>
      <c r="J122" s="498"/>
      <c r="K122" s="498"/>
      <c r="L122" s="498"/>
      <c r="M122" s="498"/>
      <c r="N122" s="498"/>
    </row>
    <row r="123" spans="1:14" x14ac:dyDescent="0.2">
      <c r="A123" s="55"/>
      <c r="B123" s="55"/>
      <c r="C123" s="572" t="str">
        <f>IF(COUNT(C102,C104)=2,IF(C102&lt;C104,B102,B104),"")</f>
        <v>Svetlana Veski</v>
      </c>
      <c r="D123" s="55"/>
      <c r="E123" s="557">
        <v>2</v>
      </c>
      <c r="F123" s="557"/>
      <c r="G123" s="557"/>
      <c r="H123" s="55"/>
      <c r="I123" s="55"/>
      <c r="J123" s="498"/>
      <c r="K123" s="498"/>
      <c r="L123" s="498"/>
      <c r="M123" s="498"/>
      <c r="N123" s="498"/>
    </row>
    <row r="124" spans="1:14" x14ac:dyDescent="0.2">
      <c r="A124" s="55"/>
      <c r="B124" s="55"/>
      <c r="C124" s="588"/>
      <c r="D124" s="573"/>
      <c r="E124" s="560" t="str">
        <f>IF(COUNT(E123,E125)=2,IF(E123&gt;E125,C123,C125),"")</f>
        <v>Boriss Klubov</v>
      </c>
      <c r="F124" s="55"/>
      <c r="G124" s="557">
        <v>6</v>
      </c>
      <c r="H124" s="55"/>
      <c r="I124" s="55"/>
      <c r="J124" s="498"/>
      <c r="K124" s="498"/>
      <c r="L124" s="498"/>
      <c r="M124" s="498"/>
      <c r="N124" s="498"/>
    </row>
    <row r="125" spans="1:14" x14ac:dyDescent="0.2">
      <c r="A125" s="55"/>
      <c r="B125" s="55"/>
      <c r="C125" s="572" t="str">
        <f>IF(COUNT(C106,C108)=2,IF(C106&lt;C108,B106,B108),"")</f>
        <v>Boriss Klubov</v>
      </c>
      <c r="D125" s="574"/>
      <c r="E125" s="562">
        <v>13</v>
      </c>
      <c r="F125" s="573"/>
      <c r="G125" s="557"/>
      <c r="H125" s="55"/>
      <c r="I125" s="55"/>
      <c r="J125" s="506"/>
      <c r="K125" s="506"/>
      <c r="L125" s="506"/>
      <c r="M125" s="506"/>
      <c r="N125" s="506"/>
    </row>
    <row r="126" spans="1:14" ht="13.5" thickBot="1" x14ac:dyDescent="0.25">
      <c r="A126" s="55"/>
      <c r="B126" s="55"/>
      <c r="C126" s="557"/>
      <c r="D126" s="557"/>
      <c r="E126" s="575"/>
      <c r="F126" s="576"/>
      <c r="G126" s="557"/>
      <c r="H126" s="567" t="str">
        <f>IF(COUNT(G124,G128)=2,IF(G124&gt;G128,E124,E128),"")</f>
        <v>Elmo Lageda</v>
      </c>
      <c r="I126" s="55"/>
      <c r="J126" s="506"/>
      <c r="K126" s="506"/>
      <c r="L126" s="506"/>
      <c r="M126" s="506"/>
      <c r="N126" s="506"/>
    </row>
    <row r="127" spans="1:14" x14ac:dyDescent="0.2">
      <c r="A127" s="55"/>
      <c r="B127" s="55"/>
      <c r="C127" s="572" t="str">
        <f>IF(COUNT(C110,C112)=2,IF(C110&lt;C112,B110,B112),"")</f>
        <v>Elmo Lageda</v>
      </c>
      <c r="D127" s="557"/>
      <c r="E127" s="557">
        <v>13</v>
      </c>
      <c r="F127" s="576"/>
      <c r="G127" s="577"/>
      <c r="H127" s="569" t="s">
        <v>390</v>
      </c>
      <c r="I127" s="570"/>
      <c r="J127" s="506"/>
      <c r="K127" s="506"/>
      <c r="L127" s="506"/>
      <c r="M127" s="506"/>
      <c r="N127" s="506"/>
    </row>
    <row r="128" spans="1:14" x14ac:dyDescent="0.2">
      <c r="A128" s="55"/>
      <c r="B128" s="55"/>
      <c r="C128" s="588"/>
      <c r="D128" s="573"/>
      <c r="E128" s="560" t="str">
        <f>IF(COUNT(E127,E129)=2,IF(E127&gt;E129,C127,C129),"")</f>
        <v>Elmo Lageda</v>
      </c>
      <c r="F128" s="566"/>
      <c r="G128" s="562">
        <v>13</v>
      </c>
      <c r="H128" s="55"/>
      <c r="I128" s="55"/>
      <c r="J128" s="506"/>
      <c r="K128" s="506"/>
      <c r="L128" s="506"/>
      <c r="M128" s="506"/>
      <c r="N128" s="506"/>
    </row>
    <row r="129" spans="1:14" ht="13.5" thickBot="1" x14ac:dyDescent="0.25">
      <c r="A129" s="55"/>
      <c r="B129" s="55"/>
      <c r="C129" s="572" t="str">
        <f>IF(COUNT(C114,C116)=2,IF(C114&lt;C116,B114,B116),"")</f>
        <v>Matti Vinni</v>
      </c>
      <c r="D129" s="574"/>
      <c r="E129" s="562">
        <v>10</v>
      </c>
      <c r="F129" s="557"/>
      <c r="G129" s="575"/>
      <c r="H129" s="567" t="str">
        <f>IF(COUNT(G124,G128)=2,IF(G124&lt;G128,E124,E128),"")</f>
        <v>Boriss Klubov</v>
      </c>
      <c r="I129" s="571"/>
      <c r="J129" s="506"/>
      <c r="K129" s="506"/>
      <c r="L129" s="506"/>
      <c r="M129" s="506"/>
      <c r="N129" s="506"/>
    </row>
    <row r="130" spans="1:14" x14ac:dyDescent="0.2">
      <c r="A130" s="55"/>
      <c r="B130" s="55"/>
      <c r="C130" s="557"/>
      <c r="D130" s="557"/>
      <c r="E130" s="557"/>
      <c r="F130" s="557"/>
      <c r="G130" s="575"/>
      <c r="H130" s="569" t="s">
        <v>391</v>
      </c>
      <c r="I130" s="554"/>
      <c r="J130" s="506"/>
      <c r="K130" s="506"/>
      <c r="L130" s="506"/>
      <c r="M130" s="506"/>
      <c r="N130" s="506"/>
    </row>
    <row r="131" spans="1:14" x14ac:dyDescent="0.2">
      <c r="A131" s="55"/>
      <c r="B131" s="55"/>
      <c r="C131" s="557"/>
      <c r="D131" s="575"/>
      <c r="E131" s="551" t="str">
        <f>IF(COUNT(E123,E125)=2,IF(E123&lt;E125,C123,C125),"")</f>
        <v>Svetlana Veski</v>
      </c>
      <c r="F131" s="55"/>
      <c r="G131" s="557">
        <v>9</v>
      </c>
      <c r="H131" s="554"/>
      <c r="I131" s="554"/>
      <c r="J131" s="55"/>
      <c r="K131" s="55"/>
      <c r="L131" s="55"/>
      <c r="M131" s="55"/>
      <c r="N131" s="55"/>
    </row>
    <row r="132" spans="1:14" ht="13.5" thickBot="1" x14ac:dyDescent="0.25">
      <c r="A132" s="55"/>
      <c r="B132" s="55"/>
      <c r="C132" s="557"/>
      <c r="D132" s="575"/>
      <c r="E132" s="587"/>
      <c r="F132" s="563"/>
      <c r="G132" s="571"/>
      <c r="H132" s="567" t="str">
        <f>IF(COUNT(G131,G133)=2,IF(G131&gt;G133,E131,E133),"")</f>
        <v>Matti Vinni</v>
      </c>
      <c r="I132" s="571"/>
      <c r="J132" s="55"/>
      <c r="K132" s="55"/>
      <c r="L132" s="55"/>
      <c r="M132" s="55"/>
      <c r="N132" s="55"/>
    </row>
    <row r="133" spans="1:14" x14ac:dyDescent="0.2">
      <c r="A133" s="55"/>
      <c r="B133" s="55"/>
      <c r="C133" s="557"/>
      <c r="D133" s="575"/>
      <c r="E133" s="572" t="str">
        <f>IF(COUNT(E127,E129)=2,IF(E127&lt;E129,C127,C129),"")</f>
        <v>Matti Vinni</v>
      </c>
      <c r="F133" s="566"/>
      <c r="G133" s="562">
        <v>13</v>
      </c>
      <c r="H133" s="569" t="s">
        <v>392</v>
      </c>
      <c r="I133" s="554"/>
      <c r="J133" s="55"/>
      <c r="K133" s="55"/>
      <c r="L133" s="55"/>
      <c r="M133" s="55"/>
      <c r="N133" s="55"/>
    </row>
    <row r="134" spans="1:14" x14ac:dyDescent="0.2">
      <c r="A134" s="55"/>
      <c r="B134" s="55"/>
      <c r="C134" s="55"/>
      <c r="D134" s="554"/>
      <c r="E134" s="55"/>
      <c r="F134" s="55"/>
      <c r="G134" s="55"/>
      <c r="H134" s="554"/>
      <c r="I134" s="554"/>
      <c r="J134" s="55"/>
      <c r="K134" s="55"/>
      <c r="L134" s="55"/>
      <c r="M134" s="55"/>
      <c r="N134" s="55"/>
    </row>
    <row r="135" spans="1:14" ht="13.5" thickBot="1" x14ac:dyDescent="0.25">
      <c r="A135" s="55"/>
      <c r="B135" s="55"/>
      <c r="C135" s="55"/>
      <c r="D135" s="55"/>
      <c r="E135" s="554"/>
      <c r="F135" s="554"/>
      <c r="G135" s="55"/>
      <c r="H135" s="571" t="str">
        <f>IF(COUNT(G131,G133)=2,IF(G131&lt;G133,E131,E133),"")</f>
        <v>Svetlana Veski</v>
      </c>
      <c r="I135" s="571"/>
      <c r="J135" s="55"/>
      <c r="K135" s="55"/>
      <c r="L135" s="55"/>
      <c r="M135" s="55"/>
      <c r="N135" s="55"/>
    </row>
    <row r="136" spans="1:14" x14ac:dyDescent="0.2">
      <c r="A136" s="55"/>
      <c r="B136" s="55"/>
      <c r="C136" s="55"/>
      <c r="D136" s="55"/>
      <c r="E136" s="554"/>
      <c r="F136" s="554"/>
      <c r="G136" s="55"/>
      <c r="H136" s="569" t="s">
        <v>393</v>
      </c>
      <c r="I136" s="55"/>
      <c r="J136" s="55"/>
      <c r="K136" s="55"/>
      <c r="L136" s="55"/>
      <c r="M136" s="55"/>
      <c r="N136" s="55"/>
    </row>
    <row r="137" spans="1:14" x14ac:dyDescent="0.2">
      <c r="A137" s="55"/>
      <c r="B137" s="55"/>
      <c r="C137" s="55"/>
      <c r="D137" s="55"/>
      <c r="E137" s="55"/>
      <c r="F137" s="55"/>
      <c r="G137" s="55"/>
      <c r="H137" s="55"/>
      <c r="I137" s="55"/>
      <c r="J137" s="55"/>
      <c r="K137" s="55"/>
      <c r="L137" s="55"/>
      <c r="M137" s="55"/>
      <c r="N137" s="55"/>
    </row>
    <row r="138" spans="1:14" x14ac:dyDescent="0.2">
      <c r="A138" s="553" t="s">
        <v>773</v>
      </c>
      <c r="B138" s="554"/>
      <c r="C138" s="525"/>
      <c r="D138" s="525"/>
      <c r="E138" s="525"/>
      <c r="F138" s="527"/>
      <c r="G138" s="550"/>
      <c r="H138" s="55"/>
      <c r="I138" s="55"/>
      <c r="J138" s="55"/>
      <c r="K138" s="55"/>
      <c r="L138" s="55"/>
      <c r="M138" s="55"/>
      <c r="N138" s="55"/>
    </row>
    <row r="139" spans="1:14" x14ac:dyDescent="0.2">
      <c r="A139" s="55"/>
      <c r="B139" s="55"/>
      <c r="C139" s="55"/>
      <c r="D139" s="55"/>
      <c r="E139" s="55"/>
      <c r="F139" s="55"/>
      <c r="G139" s="55"/>
      <c r="H139" s="55"/>
      <c r="I139" s="55"/>
      <c r="J139" s="55"/>
      <c r="K139" s="55"/>
      <c r="L139" s="55"/>
      <c r="M139" s="55"/>
      <c r="N139" s="55"/>
    </row>
    <row r="140" spans="1:14" x14ac:dyDescent="0.2">
      <c r="A140" s="500" t="s">
        <v>13</v>
      </c>
      <c r="B140" s="501"/>
      <c r="C140" s="502">
        <v>1</v>
      </c>
      <c r="D140" s="502">
        <v>2</v>
      </c>
      <c r="E140" s="502">
        <v>3</v>
      </c>
      <c r="F140" s="502"/>
      <c r="G140" s="502"/>
      <c r="H140" s="502" t="s">
        <v>363</v>
      </c>
      <c r="I140" s="501" t="s">
        <v>26</v>
      </c>
      <c r="J140" s="503" t="s">
        <v>156</v>
      </c>
      <c r="K140" s="504" t="s">
        <v>156</v>
      </c>
      <c r="L140" s="505" t="s">
        <v>364</v>
      </c>
      <c r="M140" s="506" t="b">
        <f>OR(AND(COUNTA(B141:B145)=3,COUNTA(C141:G145)=6),AND(COUNTA(B141:B145)=4,COUNTA(C141:G145)=12),AND(COUNTA(B141:B145)=5,COUNTA(C141:G145)=20))</f>
        <v>1</v>
      </c>
      <c r="N140" s="668"/>
    </row>
    <row r="141" spans="1:14" x14ac:dyDescent="0.2">
      <c r="A141" s="500">
        <v>1</v>
      </c>
      <c r="B141" s="583" t="s">
        <v>101</v>
      </c>
      <c r="C141" s="509"/>
      <c r="D141" s="510">
        <v>13</v>
      </c>
      <c r="E141" s="510">
        <v>8</v>
      </c>
      <c r="F141" s="510"/>
      <c r="G141" s="510"/>
      <c r="H141" s="511" t="str">
        <f>(IF(D141-C142&gt;0,1)+IF(E141-C143&gt;0,1)+IF(F141-C144&gt;0,1)+IF(G141-C145&gt;0,1))&amp;"-"&amp;(IF(D141-C142&lt;0,1)+IF(E141-C143&lt;0,1)+IF(F141-C144&lt;0,1)+IF(G141-C145&lt;0,1))</f>
        <v>1-1</v>
      </c>
      <c r="I141" s="510" t="str">
        <f>IF(AND(B141&lt;&gt;"",M$140=TRUE),A$140&amp;RANK(M141,M$141:M$145,0),"")</f>
        <v>K2</v>
      </c>
      <c r="J141" s="512">
        <f>VALUE(LEFT(H141,1))</f>
        <v>1</v>
      </c>
      <c r="K141" s="513">
        <f>IF(AND(J141=1,J142=1,D141&gt;C142),1)+IF(AND(J141=1,J143=1,E141&gt;C143),1)+IF(AND(J141=1,J144=1,F141&gt;C144),1)+IF(AND(J141=1,J145=1,G141&gt;C145),1)+IF(AND(J141=2,J142=2,D141&gt;C142),1)+IF(AND(J141=2,J143=2,E141&gt;C143),1)+IF(AND(J141=2,J144=2,F141&gt;C144),1)+IF(AND(J141=2,J145=2,G141&gt;C145),1)+IF(AND(J141=3,J142=3,D141&gt;C142),1)+IF(AND(J141=3,J143=3,E141&gt;C143),1)+IF(AND(J141=3,J144=3,F141&gt;C144),1)+IF(AND(J141=3,J145=3,G141&gt;C145),1)</f>
        <v>0</v>
      </c>
      <c r="L141" s="514">
        <f>IF(AND(J141=1,J142=1),D141-C142)+IF(AND(J141=1,J143=1),E141-C143)+IF(AND(J141=1,J144=1),F141-C144)+IF(AND(J141=1,J145=1),G141-C145)+IF(AND(J141=2,J142=2),D141-C142)+IF(AND(J141=2,J143=2),E141-C143)+IF(AND(J141=2,J144=2),F141-C144)+IF(AND(J141=2,J145=2),G141-C145)+IF(AND(J141=3,J142=3),D141-C142)+IF(AND(J141=3,J143=3),E141-C143)+IF(AND(J141=3,J144=3),F141-C144)+IF(AND(J141=3,J145=3),G141-C145)</f>
        <v>0</v>
      </c>
      <c r="M141" s="515">
        <f>10000*J141+K141*100+L141</f>
        <v>10000</v>
      </c>
      <c r="N141" s="668"/>
    </row>
    <row r="142" spans="1:14" x14ac:dyDescent="0.2">
      <c r="A142" s="500">
        <v>2</v>
      </c>
      <c r="B142" s="583" t="s">
        <v>96</v>
      </c>
      <c r="C142" s="510">
        <v>8</v>
      </c>
      <c r="D142" s="509"/>
      <c r="E142" s="510">
        <v>8</v>
      </c>
      <c r="F142" s="510"/>
      <c r="G142" s="510"/>
      <c r="H142" s="511" t="str">
        <f>(IF(C142-D141&gt;0,1)+IF(E142-D143&gt;0,1)+IF(F142-D144&gt;0,1)+IF(G142-D145&gt;0,1))&amp;"-"&amp;(IF(C142-D141&lt;0,1)+IF(E142-D143&lt;0,1)+IF(F142-D144&lt;0,1)+IF(G142-D145&lt;0,1))</f>
        <v>0-2</v>
      </c>
      <c r="I142" s="510" t="str">
        <f>IF(AND(B142&lt;&gt;"",M$140=TRUE),A$140&amp;RANK(M142,M$141:M$145,0),"")</f>
        <v>K3</v>
      </c>
      <c r="J142" s="512">
        <f t="shared" ref="J142:J145" si="0">VALUE(LEFT(H142,1))</f>
        <v>0</v>
      </c>
      <c r="K142" s="639">
        <f>IF(AND(J142=1,J141=1,C142&gt;D141),1)+IF(AND(J142=1,J143=1,E142&gt;D143),1)+IF(AND(J142=1,J144=1,F142&gt;D144),1)+IF(AND(J142=1,J145=1,G142&gt;D145),1)+IF(AND(J142=2,J141=2,C142&gt;D141),1)+IF(AND(J142=2,J143=2,E142&gt;D143),1)+IF(AND(J142=2,J144=2,F142&gt;D144),1)+IF(AND(J142=2,J145=2,G142&gt;D145),1)+IF(AND(J142=3,J141=3,C142&gt;D141),1)+IF(AND(J142=3,J143=3,E142&gt;D143),1)+IF(AND(J142=3,J144=3,F142&gt;D144),1)+IF(AND(J142=3,J145=3,G142&gt;D145),1)</f>
        <v>0</v>
      </c>
      <c r="L142" s="514">
        <f>IF(AND(J142=1,J141=1),C142-D141)+IF(AND(J142=1,J143=1),E142-D143)+IF(AND(J142=1,J144=1),F142-D144)+IF(AND(J142=1,J145=1),G142-D145)+IF(AND(J142=2,J141=2),C142-D141)+IF(AND(J142=2,J143=2),E142-D143)+IF(AND(J142=2,J144=2),F142-D144)+IF(AND(J142=2,J145=2),G142-D145)+IF(AND(J142=3,J141=3),C142-D141)+IF(AND(J142=3,J143=3),E142-D143)+IF(AND(J142=3,J144=3),F142-D144)+IF(AND(J142=3,J145=3),G142-D145)</f>
        <v>0</v>
      </c>
      <c r="M142" s="515">
        <f t="shared" ref="M142:M145" si="1">10000*J142+K142*100+L142</f>
        <v>0</v>
      </c>
      <c r="N142" s="668"/>
    </row>
    <row r="143" spans="1:14" x14ac:dyDescent="0.2">
      <c r="A143" s="500">
        <v>3</v>
      </c>
      <c r="B143" s="583" t="s">
        <v>97</v>
      </c>
      <c r="C143" s="510">
        <v>13</v>
      </c>
      <c r="D143" s="520">
        <v>13</v>
      </c>
      <c r="E143" s="509"/>
      <c r="F143" s="510"/>
      <c r="G143" s="510"/>
      <c r="H143" s="511" t="str">
        <f>(IF(C143-E141&gt;0,1)+IF(D143-E142&gt;0,1)+IF(F143-E144&gt;0,1)+IF(G143-E145&gt;0,1))&amp;"-"&amp;(IF(C143-E141&lt;0,1)+IF(D143-E142&lt;0,1)+IF(F143-E144&lt;0,1)+IF(G143-E145&lt;0,1))</f>
        <v>2-0</v>
      </c>
      <c r="I143" s="510" t="str">
        <f>IF(AND(B143&lt;&gt;"",M$140=TRUE),A$140&amp;RANK(M143,M$141:M$145,0),"")</f>
        <v>K1</v>
      </c>
      <c r="J143" s="512">
        <f t="shared" si="0"/>
        <v>2</v>
      </c>
      <c r="K143" s="639">
        <f>IF(AND(J143=1,J141=1,C143&gt;E141),1)+IF(AND(J143=1,J142=1,D143&gt;E142),1)+IF(AND(J143=1,J144=1,F143&gt;E144),1)+IF(AND(J143=1,J145=1,G143&gt;E145),1)+IF(AND(J143=2,J141=2,C143&gt;E141),1)+IF(AND(J143=2,J142=2,D143&gt;E142),1)+IF(AND(J143=2,J144=2,F143&gt;E144),1)+IF(AND(J143=2,J145=2,G143&gt;E145),1)+IF(AND(J143=3,J141=3,C143&gt;E141),1)+IF(AND(J143=3,J142=3,D143&gt;E142),1)+IF(AND(J143=3,J144=3,F143&gt;E144),1)+IF(AND(J143=3,J145=3,G143&gt;E145),1)</f>
        <v>0</v>
      </c>
      <c r="L143" s="514">
        <f>IF(AND(J143=1,J141=1),C143-E141)+IF(AND(J143=1,J142=1),D143-E142)+IF(AND(J143=1,J144=1),F143-E144)+IF(AND(J143=1,J145=1),G143-E145)+IF(AND(J143=2,J141=2),C143-E141)+IF(AND(J143=2,J142=2),D143-E142)+IF(AND(J143=2,J144=2),F143-E144)+IF(AND(J143=2,J145=2),G143-E145)+IF(AND(J143=3,J141=3),C143-E141)+IF(AND(J143=3,J142=3),D143-E142)+IF(AND(J143=3,J144=3),F143-E144)+IF(AND(J143=3,J145=3),G143-E145)</f>
        <v>0</v>
      </c>
      <c r="M143" s="515">
        <f t="shared" si="1"/>
        <v>20000</v>
      </c>
      <c r="N143" s="668"/>
    </row>
    <row r="144" spans="1:14" hidden="1" x14ac:dyDescent="0.2">
      <c r="A144" s="500">
        <v>4</v>
      </c>
      <c r="B144" s="521"/>
      <c r="C144" s="510"/>
      <c r="D144" s="520"/>
      <c r="E144" s="510"/>
      <c r="F144" s="509"/>
      <c r="G144" s="522"/>
      <c r="H144" s="511" t="str">
        <f>(IF(C144-F141&gt;0,1)+IF(D144-F142&gt;0,1)+IF(E144-F143&gt;0,1)+IF(G144-F145&gt;0,1))&amp;"-"&amp;(IF(C144-F141&lt;0,1)+IF(D144-F142&lt;0,1)+IF(E144-F143&lt;0,1)+IF(G144-F145&lt;0,1))</f>
        <v>0-0</v>
      </c>
      <c r="I144" s="510" t="str">
        <f>IF(AND(B144&lt;&gt;"",M$140=TRUE),A$140&amp;RANK(M144,M$141:M$145,0),"")</f>
        <v/>
      </c>
      <c r="J144" s="512">
        <f t="shared" si="0"/>
        <v>0</v>
      </c>
      <c r="K144" s="639">
        <f>IF(AND(J144=1,J141=1,C144&gt;F141),1)+IF(AND(J144=1,J142=1,D144&gt;F142),1)+IF(AND(J144=1,J143=1,E144&gt;F143),1)+IF(AND(J144=1,J145=1,G144&gt;F145),1)+IF(AND(J144=2,J141=2,C144&gt;F141),1)+IF(AND(J144=2,J142=2,D144&gt;F142),1)+IF(AND(J144=2,J143=2,E144&gt;F143),1)+IF(AND(J144=2,J145=2,G144&gt;F145),1)+IF(AND(J144=3,J141=3,C144&gt;F141),1)+IF(AND(J144=3,J142=3,D144&gt;F142),1)+IF(AND(J144=3,J143=3,E144&gt;F143),1)+IF(AND(J144=3,J145=3,G144&gt;F145),1)</f>
        <v>0</v>
      </c>
      <c r="L144" s="514">
        <f>IF(AND(J144=1,J141=1),C144-F141)+IF(AND(J144=1,J142=1),D144-F142)+IF(AND(J144=1,J143=1),E144-F143)+IF(AND(J144=1,J145=1),G144-F145)+IF(AND(J144=2,J141=2),C144-F141)+IF(AND(J144=2,J142=2),D144-F142)+IF(AND(J144=2,J143=2),E144-F143)+IF(AND(J144=2,J145=2),G144-F145)+IF(AND(J144=3,J141=3),C144-F141)+IF(AND(J144=3,J142=3),D144-F142)+IF(AND(J144=3,J143=3),E144-F143)+IF(AND(J144=3,J145=3),G144-F145)</f>
        <v>0</v>
      </c>
      <c r="M144" s="515">
        <f t="shared" si="1"/>
        <v>0</v>
      </c>
      <c r="N144" s="668"/>
    </row>
    <row r="145" spans="1:14" hidden="1" x14ac:dyDescent="0.2">
      <c r="A145" s="500">
        <v>5</v>
      </c>
      <c r="B145" s="521"/>
      <c r="C145" s="510"/>
      <c r="D145" s="510"/>
      <c r="E145" s="510"/>
      <c r="F145" s="510"/>
      <c r="G145" s="509"/>
      <c r="H145" s="511" t="str">
        <f>(IF(C145-G141&gt;0,1)+IF(D145-G142&gt;0,1)+IF(E145-G143&gt;0,1)+IF(F145-G144&gt;0,1))&amp;"-"&amp;(IF(C145-G141&lt;0,1)+IF(D145-G142&lt;0,1)+IF(E145-G143&lt;0,1)+IF(F145-G144&lt;0,1))</f>
        <v>0-0</v>
      </c>
      <c r="I145" s="510" t="str">
        <f>IF(AND(B145&lt;&gt;"",M$140=TRUE),A$140&amp;RANK(M145,M$141:M$145,0),"")</f>
        <v/>
      </c>
      <c r="J145" s="512">
        <f t="shared" si="0"/>
        <v>0</v>
      </c>
      <c r="K145" s="639">
        <f>IF(AND(J145=1,J141=1,C145&gt;G141),1)+IF(AND(J145=1,J142=1,D145&gt;G142),1)+IF(AND(J145=1,J143=1,E145&gt;G143),1)+IF(AND(J145=1,J144=1,F145&gt;G144),1)+IF(AND(J145=2,J141=2,C145&gt;G141),1)+IF(AND(J145=2,J142=2,D145&gt;G142),1)+IF(AND(J145=2,J143=2,E145&gt;G143),1)+IF(AND(J145=2,J144=2,F145&gt;G144),1)+IF(AND(J145=3,J141=3,C145&gt;G141),1)+IF(AND(J145=3,J142=3,D145&gt;G142),1)+IF(AND(J145=3,J143=3,E145&gt;G143),1)+IF(AND(J145=3,J144=3,F145&gt;G144),1)</f>
        <v>0</v>
      </c>
      <c r="L145" s="514">
        <f>IF(AND(J145=1,J141=1),C145-G141)+IF(AND(J145=1,J142=1),D145-G142)+IF(AND(J145=1,J143=1),E145-G143)+IF(AND(J145=1,J144=1),F145-G144)+IF(AND(J145=2,J141=2),C145-G141)+IF(AND(J145=2,J142=2),D145-G142)+IF(AND(J145=2,J143=2),E145-G143)+IF(AND(J145=2,J144=2),F145-G144)+IF(AND(J145=3,J141=3),C145-G141)+IF(AND(J145=3,J142=3),D145-G142)+IF(AND(J145=3,J143=3),E145-G143)+IF(AND(J145=3,J144=3),F145-G144)</f>
        <v>0</v>
      </c>
      <c r="M145" s="515">
        <f t="shared" si="1"/>
        <v>0</v>
      </c>
      <c r="N145" s="668"/>
    </row>
    <row r="146" spans="1:14" x14ac:dyDescent="0.2">
      <c r="A146" s="55"/>
      <c r="B146" s="55"/>
      <c r="C146" s="55"/>
      <c r="D146" s="55"/>
      <c r="E146" s="55"/>
      <c r="F146" s="55"/>
      <c r="G146" s="55"/>
      <c r="H146" s="55"/>
      <c r="I146" s="55"/>
      <c r="J146" s="55"/>
      <c r="K146" s="55"/>
      <c r="L146" s="55"/>
      <c r="M146" s="55"/>
      <c r="N146" s="55"/>
    </row>
    <row r="147" spans="1:14" x14ac:dyDescent="0.2">
      <c r="A147" s="55"/>
      <c r="B147" s="549" t="s">
        <v>16</v>
      </c>
      <c r="C147" s="550" t="s">
        <v>366</v>
      </c>
      <c r="D147" s="55"/>
      <c r="E147" s="55"/>
      <c r="F147" s="55"/>
      <c r="G147" s="55"/>
      <c r="H147" s="55"/>
      <c r="I147" s="55"/>
      <c r="J147" s="55"/>
      <c r="K147" s="55"/>
      <c r="L147" s="55"/>
      <c r="M147" s="55"/>
      <c r="N147" s="55"/>
    </row>
    <row r="148" spans="1:14" x14ac:dyDescent="0.2">
      <c r="A148" s="55"/>
      <c r="B148" s="549" t="s">
        <v>17</v>
      </c>
      <c r="C148" s="550" t="s">
        <v>367</v>
      </c>
      <c r="D148" s="55"/>
      <c r="E148" s="55"/>
      <c r="F148" s="55"/>
      <c r="G148" s="55"/>
      <c r="H148" s="55"/>
      <c r="I148" s="55"/>
      <c r="J148" s="55"/>
      <c r="K148" s="55"/>
      <c r="L148" s="55"/>
      <c r="M148" s="55"/>
      <c r="N148" s="55"/>
    </row>
    <row r="149" spans="1:14" x14ac:dyDescent="0.2">
      <c r="A149" s="55"/>
      <c r="B149" s="549" t="s">
        <v>18</v>
      </c>
      <c r="C149" s="550" t="s">
        <v>368</v>
      </c>
      <c r="D149" s="55"/>
      <c r="E149" s="55"/>
      <c r="F149" s="55"/>
      <c r="G149" s="55"/>
      <c r="H149" s="55"/>
      <c r="I149" s="55"/>
      <c r="J149" s="55"/>
      <c r="K149" s="55"/>
      <c r="L149" s="55"/>
      <c r="M149" s="55"/>
      <c r="N149" s="55"/>
    </row>
    <row r="150" spans="1:14" x14ac:dyDescent="0.2">
      <c r="A150" s="55"/>
      <c r="B150" s="55"/>
      <c r="C150" s="55"/>
      <c r="D150" s="55"/>
      <c r="E150" s="55"/>
      <c r="F150" s="55"/>
      <c r="J150" s="55"/>
      <c r="K150" s="55"/>
      <c r="L150" s="55"/>
      <c r="M150" s="55"/>
      <c r="N150" s="55"/>
    </row>
    <row r="151" spans="1:14" ht="13.5" thickBot="1" x14ac:dyDescent="0.25">
      <c r="A151" s="55"/>
      <c r="B151" s="55"/>
      <c r="C151" s="55"/>
      <c r="D151" s="55"/>
      <c r="E151" s="55"/>
      <c r="F151" s="55"/>
      <c r="G151" s="640" t="s">
        <v>574</v>
      </c>
      <c r="H151" s="567" t="str">
        <f>IFERROR(INDEX(B$141:B$145,MATCH(G151,I$141:I$145,0)),"")</f>
        <v>Andres Veski</v>
      </c>
      <c r="I151" s="55"/>
      <c r="J151" s="55"/>
      <c r="K151" s="55"/>
      <c r="L151" s="55"/>
      <c r="M151" s="55"/>
      <c r="N151" s="55"/>
    </row>
    <row r="152" spans="1:14" x14ac:dyDescent="0.2">
      <c r="A152" s="55"/>
      <c r="B152" s="55"/>
      <c r="C152" s="55"/>
      <c r="D152" s="55"/>
      <c r="E152" s="55"/>
      <c r="F152" s="55"/>
      <c r="G152" s="640"/>
      <c r="H152" s="569" t="s">
        <v>399</v>
      </c>
      <c r="I152" s="570"/>
      <c r="J152" s="55"/>
      <c r="K152" s="55"/>
      <c r="L152" s="55"/>
      <c r="M152" s="55"/>
      <c r="N152" s="55"/>
    </row>
    <row r="153" spans="1:14" x14ac:dyDescent="0.2">
      <c r="A153" s="55"/>
      <c r="B153" s="55"/>
      <c r="C153" s="55"/>
      <c r="D153" s="55"/>
      <c r="E153" s="55"/>
      <c r="F153" s="55"/>
      <c r="G153" s="640"/>
      <c r="H153" s="55"/>
      <c r="I153" s="55"/>
      <c r="J153" s="55"/>
      <c r="K153" s="55"/>
      <c r="L153" s="55"/>
      <c r="M153" s="55"/>
      <c r="N153" s="55"/>
    </row>
    <row r="154" spans="1:14" ht="13.5" thickBot="1" x14ac:dyDescent="0.25">
      <c r="A154" s="55"/>
      <c r="B154" s="55"/>
      <c r="C154" s="55"/>
      <c r="D154" s="55"/>
      <c r="E154" s="55"/>
      <c r="F154" s="55"/>
      <c r="G154" s="640" t="s">
        <v>575</v>
      </c>
      <c r="H154" s="567" t="str">
        <f>IFERROR(INDEX(B$141:B$145,MATCH(G154,I$141:I$145,0)),"")</f>
        <v>Mait Metsla</v>
      </c>
      <c r="I154" s="571"/>
      <c r="J154" s="55"/>
      <c r="K154" s="55"/>
      <c r="L154" s="55"/>
      <c r="M154" s="55"/>
      <c r="N154" s="55"/>
    </row>
    <row r="155" spans="1:14" x14ac:dyDescent="0.2">
      <c r="A155" s="55"/>
      <c r="B155" s="55"/>
      <c r="C155" s="55"/>
      <c r="D155" s="55"/>
      <c r="E155" s="55"/>
      <c r="F155" s="55"/>
      <c r="G155" s="640"/>
      <c r="H155" s="569" t="s">
        <v>402</v>
      </c>
      <c r="I155" s="554"/>
      <c r="J155" s="55"/>
      <c r="K155" s="55"/>
      <c r="L155" s="55"/>
      <c r="M155" s="55"/>
      <c r="N155" s="55"/>
    </row>
    <row r="156" spans="1:14" x14ac:dyDescent="0.2">
      <c r="A156" s="55"/>
      <c r="B156" s="55"/>
      <c r="C156" s="55"/>
      <c r="D156" s="55"/>
      <c r="E156" s="55"/>
      <c r="F156" s="55"/>
      <c r="G156" s="640"/>
      <c r="H156" s="55"/>
      <c r="I156" s="55"/>
      <c r="J156" s="55"/>
      <c r="K156" s="55"/>
      <c r="L156" s="55"/>
      <c r="M156" s="55"/>
      <c r="N156" s="55"/>
    </row>
    <row r="157" spans="1:14" ht="13.5" thickBot="1" x14ac:dyDescent="0.25">
      <c r="A157" s="55"/>
      <c r="B157" s="55"/>
      <c r="C157" s="55"/>
      <c r="D157" s="55"/>
      <c r="E157" s="55"/>
      <c r="F157" s="55"/>
      <c r="G157" s="640" t="s">
        <v>576</v>
      </c>
      <c r="H157" s="567" t="str">
        <f>IFERROR(INDEX(B$141:B$145,MATCH(G157,I$141:I$145,0)),"")</f>
        <v>Tõnu Piik</v>
      </c>
      <c r="I157" s="571"/>
      <c r="J157" s="55"/>
      <c r="K157" s="55"/>
      <c r="L157" s="55"/>
      <c r="M157" s="55"/>
      <c r="N157" s="55"/>
    </row>
    <row r="158" spans="1:14" x14ac:dyDescent="0.2">
      <c r="A158" s="55"/>
      <c r="B158" s="55"/>
      <c r="C158" s="55"/>
      <c r="D158" s="55"/>
      <c r="E158" s="55"/>
      <c r="F158" s="55"/>
      <c r="G158" s="637"/>
      <c r="H158" s="523" t="s">
        <v>404</v>
      </c>
      <c r="I158" s="554"/>
      <c r="J158" s="55"/>
      <c r="K158" s="55"/>
      <c r="L158" s="55"/>
      <c r="M158" s="55"/>
      <c r="N158" s="55"/>
    </row>
    <row r="159" spans="1:14" hidden="1" x14ac:dyDescent="0.2">
      <c r="A159" s="32"/>
      <c r="B159" s="32"/>
      <c r="C159" s="32"/>
      <c r="D159" s="32"/>
      <c r="E159" s="32"/>
      <c r="F159" s="32"/>
      <c r="G159" s="32"/>
      <c r="H159" s="32"/>
      <c r="I159" s="32"/>
    </row>
    <row r="160" spans="1:14" hidden="1" x14ac:dyDescent="0.2">
      <c r="A160" s="32"/>
      <c r="B160" s="32"/>
      <c r="C160" s="32"/>
      <c r="D160" s="32"/>
      <c r="E160" s="32"/>
      <c r="F160" s="32"/>
      <c r="G160" s="32"/>
      <c r="H160" s="32"/>
      <c r="I160" s="32"/>
    </row>
    <row r="161" spans="1:9" hidden="1" x14ac:dyDescent="0.2">
      <c r="A161" s="32"/>
      <c r="B161" s="32"/>
      <c r="C161" s="32"/>
      <c r="D161" s="32"/>
      <c r="E161" s="32"/>
      <c r="F161" s="32"/>
      <c r="G161" s="32"/>
      <c r="H161" s="32"/>
      <c r="I161" s="32"/>
    </row>
    <row r="162" spans="1:9" hidden="1" x14ac:dyDescent="0.2">
      <c r="A162" s="32"/>
      <c r="B162" s="32"/>
      <c r="C162" s="32"/>
      <c r="D162" s="32"/>
      <c r="E162" s="32"/>
      <c r="F162" s="32"/>
      <c r="G162" s="32"/>
      <c r="H162" s="32"/>
      <c r="I162" s="32"/>
    </row>
    <row r="163" spans="1:9" hidden="1" x14ac:dyDescent="0.2">
      <c r="A163" s="32"/>
      <c r="B163" s="32"/>
      <c r="C163" s="32"/>
      <c r="D163" s="32"/>
      <c r="E163" s="32"/>
      <c r="F163" s="32"/>
      <c r="G163" s="32"/>
      <c r="H163" s="32"/>
      <c r="I163" s="32"/>
    </row>
    <row r="164" spans="1:9" hidden="1" x14ac:dyDescent="0.2">
      <c r="A164" s="32"/>
      <c r="B164" s="32"/>
      <c r="C164" s="32"/>
      <c r="D164" s="32"/>
      <c r="E164" s="32"/>
      <c r="F164" s="32"/>
      <c r="G164" s="32"/>
      <c r="H164" s="32"/>
      <c r="I164" s="32"/>
    </row>
    <row r="165" spans="1:9" hidden="1" x14ac:dyDescent="0.2">
      <c r="A165" s="32"/>
      <c r="B165" s="32"/>
      <c r="C165" s="32"/>
      <c r="D165" s="32"/>
      <c r="E165" s="32"/>
      <c r="F165" s="32"/>
      <c r="G165" s="32"/>
      <c r="H165" s="32"/>
      <c r="I165" s="32"/>
    </row>
    <row r="166" spans="1:9" hidden="1" x14ac:dyDescent="0.2">
      <c r="A166" s="32"/>
      <c r="B166" s="32"/>
      <c r="C166" s="32"/>
      <c r="D166" s="32"/>
      <c r="E166" s="32"/>
      <c r="F166" s="32"/>
      <c r="G166" s="32"/>
      <c r="H166" s="32"/>
      <c r="I166" s="32"/>
    </row>
    <row r="167" spans="1:9" hidden="1" x14ac:dyDescent="0.2">
      <c r="A167" s="32"/>
      <c r="B167" s="32"/>
      <c r="C167" s="32"/>
      <c r="D167" s="32"/>
      <c r="E167" s="32"/>
      <c r="F167" s="32"/>
      <c r="G167" s="32"/>
      <c r="H167" s="32"/>
      <c r="I167" s="32"/>
    </row>
    <row r="168" spans="1:9" hidden="1" x14ac:dyDescent="0.2">
      <c r="A168" s="32"/>
      <c r="B168" s="32"/>
      <c r="C168" s="32"/>
      <c r="D168" s="32"/>
      <c r="E168" s="32"/>
      <c r="F168" s="32"/>
      <c r="G168" s="32"/>
      <c r="H168" s="32"/>
      <c r="I168" s="32"/>
    </row>
    <row r="169" spans="1:9" hidden="1" x14ac:dyDescent="0.2">
      <c r="A169" s="32"/>
      <c r="B169" s="32"/>
      <c r="C169" s="32"/>
      <c r="D169" s="32"/>
      <c r="E169" s="32"/>
      <c r="F169" s="32"/>
      <c r="G169" s="32"/>
      <c r="H169" s="32"/>
      <c r="I169" s="32"/>
    </row>
    <row r="170" spans="1:9" hidden="1" x14ac:dyDescent="0.2">
      <c r="A170" s="32"/>
      <c r="B170" s="32"/>
      <c r="C170" s="32"/>
      <c r="D170" s="32"/>
      <c r="E170" s="32"/>
      <c r="F170" s="32"/>
      <c r="G170" s="32"/>
      <c r="H170" s="32"/>
      <c r="I170" s="32"/>
    </row>
    <row r="171" spans="1:9" hidden="1" x14ac:dyDescent="0.2">
      <c r="A171" s="32"/>
      <c r="B171" s="32"/>
      <c r="C171" s="32"/>
      <c r="D171" s="32"/>
      <c r="E171" s="32"/>
      <c r="F171" s="32"/>
      <c r="G171" s="32"/>
      <c r="H171" s="32"/>
      <c r="I171" s="32"/>
    </row>
    <row r="172" spans="1:9" hidden="1" x14ac:dyDescent="0.2">
      <c r="A172" s="32"/>
      <c r="B172" s="32"/>
      <c r="C172" s="32"/>
      <c r="D172" s="32"/>
      <c r="E172" s="32"/>
      <c r="F172" s="32"/>
      <c r="G172" s="32"/>
      <c r="H172" s="32"/>
      <c r="I172" s="32"/>
    </row>
    <row r="173" spans="1:9" hidden="1" x14ac:dyDescent="0.2">
      <c r="A173" s="32"/>
      <c r="B173" s="32"/>
      <c r="C173" s="32"/>
      <c r="D173" s="32"/>
      <c r="E173" s="32"/>
      <c r="F173" s="32"/>
      <c r="G173" s="32"/>
      <c r="H173" s="32"/>
      <c r="I173" s="32"/>
    </row>
    <row r="174" spans="1:9" hidden="1" x14ac:dyDescent="0.2">
      <c r="A174" s="32"/>
      <c r="B174" s="32"/>
      <c r="C174" s="32"/>
      <c r="D174" s="32"/>
      <c r="E174" s="32"/>
      <c r="F174" s="32"/>
      <c r="G174" s="32"/>
      <c r="H174" s="32"/>
      <c r="I174" s="32"/>
    </row>
    <row r="175" spans="1:9" hidden="1" x14ac:dyDescent="0.2">
      <c r="A175" s="32"/>
      <c r="B175" s="32"/>
      <c r="C175" s="32"/>
      <c r="D175" s="32"/>
      <c r="E175" s="32"/>
      <c r="F175" s="32"/>
      <c r="G175" s="32"/>
      <c r="H175" s="32"/>
      <c r="I175" s="32"/>
    </row>
    <row r="176" spans="1:9" hidden="1" x14ac:dyDescent="0.2">
      <c r="A176" s="32"/>
      <c r="B176" s="32"/>
      <c r="C176" s="32"/>
      <c r="D176" s="32"/>
      <c r="E176" s="32"/>
      <c r="F176" s="32"/>
      <c r="G176" s="32"/>
      <c r="H176" s="32"/>
      <c r="I176" s="32"/>
    </row>
    <row r="177" spans="1:9" hidden="1" x14ac:dyDescent="0.2">
      <c r="A177" s="32"/>
      <c r="B177" s="32"/>
      <c r="C177" s="32"/>
      <c r="D177" s="32"/>
      <c r="E177" s="32"/>
      <c r="F177" s="32"/>
      <c r="G177" s="32"/>
      <c r="H177" s="32"/>
      <c r="I177" s="32"/>
    </row>
    <row r="178" spans="1:9" hidden="1" x14ac:dyDescent="0.2">
      <c r="A178" s="32"/>
      <c r="B178" s="32"/>
      <c r="C178" s="32"/>
      <c r="D178" s="32"/>
      <c r="E178" s="32"/>
      <c r="F178" s="32"/>
      <c r="G178" s="32"/>
      <c r="H178" s="32"/>
      <c r="I178" s="32"/>
    </row>
    <row r="179" spans="1:9" hidden="1" x14ac:dyDescent="0.2">
      <c r="A179" s="32"/>
      <c r="B179" s="32"/>
      <c r="C179" s="32"/>
      <c r="D179" s="32"/>
      <c r="E179" s="32"/>
      <c r="F179" s="32"/>
      <c r="G179" s="32"/>
      <c r="H179" s="32"/>
      <c r="I179" s="32"/>
    </row>
    <row r="180" spans="1:9" hidden="1" x14ac:dyDescent="0.2">
      <c r="A180" s="32"/>
      <c r="B180" s="32"/>
      <c r="C180" s="32"/>
      <c r="D180" s="32"/>
      <c r="E180" s="32"/>
      <c r="F180" s="32"/>
      <c r="G180" s="32"/>
      <c r="H180" s="32"/>
      <c r="I180" s="32"/>
    </row>
    <row r="181" spans="1:9" hidden="1" x14ac:dyDescent="0.2">
      <c r="A181" s="32"/>
      <c r="B181" s="32"/>
      <c r="C181" s="32"/>
      <c r="D181" s="32"/>
      <c r="E181" s="32"/>
      <c r="F181" s="32"/>
      <c r="G181" s="32"/>
      <c r="H181" s="32"/>
      <c r="I181" s="32"/>
    </row>
    <row r="182" spans="1:9" hidden="1" x14ac:dyDescent="0.2">
      <c r="A182" s="32"/>
      <c r="B182" s="32"/>
      <c r="C182" s="32"/>
      <c r="D182" s="32"/>
      <c r="E182" s="32"/>
      <c r="F182" s="32"/>
      <c r="G182" s="32"/>
      <c r="H182" s="32"/>
      <c r="I182" s="32"/>
    </row>
    <row r="183" spans="1:9" hidden="1" x14ac:dyDescent="0.2">
      <c r="A183" s="32"/>
      <c r="B183" s="32"/>
      <c r="C183" s="32"/>
      <c r="D183" s="32"/>
      <c r="E183" s="32"/>
      <c r="F183" s="32"/>
      <c r="G183" s="32"/>
      <c r="H183" s="32"/>
      <c r="I183" s="32"/>
    </row>
    <row r="184" spans="1:9" hidden="1" x14ac:dyDescent="0.2">
      <c r="A184" s="32"/>
      <c r="B184" s="32"/>
      <c r="C184" s="32"/>
      <c r="D184" s="32"/>
      <c r="E184" s="32"/>
      <c r="F184" s="32"/>
      <c r="G184" s="32"/>
      <c r="H184" s="32"/>
      <c r="I184" s="32"/>
    </row>
    <row r="185" spans="1:9" hidden="1" x14ac:dyDescent="0.2">
      <c r="A185" s="32"/>
      <c r="B185" s="32"/>
      <c r="C185" s="32"/>
      <c r="D185" s="32"/>
      <c r="E185" s="32"/>
      <c r="F185" s="32"/>
      <c r="G185" s="32"/>
      <c r="H185" s="32"/>
      <c r="I185" s="32"/>
    </row>
    <row r="186" spans="1:9" hidden="1" x14ac:dyDescent="0.2">
      <c r="A186" s="32"/>
      <c r="B186" s="32"/>
      <c r="C186" s="32"/>
      <c r="D186" s="32"/>
      <c r="E186" s="32"/>
      <c r="F186" s="32"/>
      <c r="G186" s="32"/>
      <c r="H186" s="32"/>
      <c r="I186" s="32"/>
    </row>
    <row r="187" spans="1:9" hidden="1" x14ac:dyDescent="0.2">
      <c r="A187" s="32"/>
      <c r="B187" s="32"/>
      <c r="C187" s="32"/>
      <c r="D187" s="32"/>
      <c r="E187" s="32"/>
      <c r="F187" s="32"/>
      <c r="G187" s="32"/>
      <c r="H187" s="32"/>
      <c r="I187" s="32"/>
    </row>
    <row r="188" spans="1:9" hidden="1" x14ac:dyDescent="0.2">
      <c r="A188" s="32"/>
      <c r="B188" s="32"/>
      <c r="C188" s="32"/>
      <c r="D188" s="32"/>
      <c r="E188" s="32"/>
      <c r="F188" s="32"/>
      <c r="G188" s="32"/>
      <c r="H188" s="32"/>
      <c r="I188" s="32"/>
    </row>
    <row r="189" spans="1:9" hidden="1" x14ac:dyDescent="0.2">
      <c r="A189" s="32"/>
      <c r="B189" s="32"/>
      <c r="C189" s="32"/>
      <c r="D189" s="32"/>
      <c r="E189" s="32"/>
      <c r="F189" s="32"/>
      <c r="G189" s="32"/>
      <c r="H189" s="32"/>
      <c r="I189" s="32"/>
    </row>
    <row r="190" spans="1:9" hidden="1" x14ac:dyDescent="0.2">
      <c r="A190" s="32"/>
      <c r="B190" s="32"/>
      <c r="C190" s="32"/>
      <c r="D190" s="32"/>
      <c r="E190" s="32"/>
      <c r="F190" s="32"/>
      <c r="G190" s="32"/>
      <c r="H190" s="32"/>
      <c r="I190" s="32"/>
    </row>
    <row r="191" spans="1:9" hidden="1" x14ac:dyDescent="0.2">
      <c r="A191" s="32"/>
      <c r="B191" s="32"/>
      <c r="C191" s="32"/>
      <c r="D191" s="32"/>
      <c r="E191" s="32"/>
      <c r="F191" s="32"/>
      <c r="G191" s="32"/>
      <c r="H191" s="32"/>
      <c r="I191" s="32"/>
    </row>
    <row r="192" spans="1:9" hidden="1" x14ac:dyDescent="0.2">
      <c r="A192" s="32"/>
      <c r="B192" s="32"/>
      <c r="C192" s="32"/>
      <c r="D192" s="32"/>
      <c r="E192" s="32"/>
      <c r="F192" s="32"/>
      <c r="G192" s="32"/>
      <c r="H192" s="32"/>
      <c r="I192" s="32"/>
    </row>
    <row r="193" spans="1:9" hidden="1" x14ac:dyDescent="0.2">
      <c r="A193" s="32"/>
      <c r="B193" s="32"/>
      <c r="C193" s="32"/>
      <c r="D193" s="32"/>
      <c r="E193" s="32"/>
      <c r="F193" s="32"/>
      <c r="G193" s="32"/>
      <c r="H193" s="32"/>
      <c r="I193" s="32"/>
    </row>
    <row r="194" spans="1:9" hidden="1" x14ac:dyDescent="0.2">
      <c r="A194" s="32"/>
      <c r="B194" s="32"/>
      <c r="C194" s="32"/>
      <c r="D194" s="32"/>
      <c r="E194" s="32"/>
      <c r="F194" s="32"/>
      <c r="G194" s="32"/>
      <c r="H194" s="32"/>
      <c r="I194" s="32"/>
    </row>
    <row r="195" spans="1:9" hidden="1" x14ac:dyDescent="0.2">
      <c r="A195" s="32"/>
      <c r="B195" s="32"/>
      <c r="C195" s="32"/>
      <c r="D195" s="32"/>
      <c r="E195" s="32"/>
      <c r="F195" s="32"/>
      <c r="G195" s="32"/>
      <c r="H195" s="32"/>
      <c r="I195" s="32"/>
    </row>
    <row r="196" spans="1:9" hidden="1" x14ac:dyDescent="0.2">
      <c r="A196" s="32"/>
      <c r="B196" s="32"/>
      <c r="C196" s="32"/>
      <c r="D196" s="32"/>
      <c r="E196" s="32"/>
      <c r="F196" s="32"/>
      <c r="G196" s="32"/>
      <c r="H196" s="32"/>
      <c r="I196" s="32"/>
    </row>
    <row r="197" spans="1:9" hidden="1" x14ac:dyDescent="0.2">
      <c r="A197" s="32"/>
      <c r="B197" s="32"/>
      <c r="C197" s="32"/>
      <c r="D197" s="32"/>
      <c r="E197" s="32"/>
      <c r="F197" s="32"/>
      <c r="G197" s="32"/>
      <c r="H197" s="32"/>
      <c r="I197" s="32"/>
    </row>
    <row r="198" spans="1:9" hidden="1" x14ac:dyDescent="0.2">
      <c r="A198" s="32"/>
      <c r="B198" s="32"/>
      <c r="C198" s="32"/>
      <c r="D198" s="32"/>
      <c r="E198" s="32"/>
      <c r="F198" s="32"/>
      <c r="G198" s="32"/>
      <c r="H198" s="32"/>
      <c r="I198" s="32"/>
    </row>
    <row r="199" spans="1:9" hidden="1" x14ac:dyDescent="0.2">
      <c r="A199" s="32"/>
      <c r="B199" s="32"/>
      <c r="C199" s="32"/>
      <c r="D199" s="32"/>
      <c r="E199" s="32"/>
      <c r="F199" s="32"/>
      <c r="G199" s="32"/>
      <c r="H199" s="32"/>
      <c r="I199" s="32"/>
    </row>
    <row r="200" spans="1:9" hidden="1" x14ac:dyDescent="0.2">
      <c r="A200" s="32"/>
      <c r="B200" s="32"/>
      <c r="C200" s="32"/>
      <c r="D200" s="32"/>
      <c r="E200" s="32"/>
      <c r="F200" s="32"/>
      <c r="G200" s="32"/>
      <c r="H200" s="32"/>
      <c r="I200" s="32"/>
    </row>
    <row r="201" spans="1:9" hidden="1" x14ac:dyDescent="0.2">
      <c r="A201" s="32"/>
      <c r="B201" s="32"/>
      <c r="C201" s="32"/>
      <c r="D201" s="32"/>
      <c r="E201" s="32"/>
      <c r="F201" s="32"/>
      <c r="G201" s="32"/>
      <c r="H201" s="32"/>
      <c r="I201" s="32"/>
    </row>
    <row r="202" spans="1:9" hidden="1" x14ac:dyDescent="0.2">
      <c r="A202" s="32"/>
      <c r="B202" s="32"/>
      <c r="C202" s="32"/>
      <c r="D202" s="32"/>
      <c r="E202" s="32"/>
      <c r="F202" s="32"/>
      <c r="G202" s="32"/>
      <c r="H202" s="32"/>
      <c r="I202" s="32"/>
    </row>
    <row r="203" spans="1:9" hidden="1" x14ac:dyDescent="0.2">
      <c r="A203" s="32"/>
      <c r="B203" s="32"/>
      <c r="C203" s="32"/>
      <c r="D203" s="32"/>
      <c r="E203" s="32"/>
      <c r="F203" s="32"/>
      <c r="G203" s="32"/>
      <c r="H203" s="32"/>
      <c r="I203" s="32"/>
    </row>
    <row r="204" spans="1:9" hidden="1" x14ac:dyDescent="0.2">
      <c r="A204" s="32"/>
      <c r="B204" s="32"/>
      <c r="C204" s="32"/>
      <c r="D204" s="32"/>
      <c r="E204" s="32"/>
      <c r="F204" s="32"/>
      <c r="G204" s="32"/>
      <c r="H204" s="32"/>
      <c r="I204" s="32"/>
    </row>
    <row r="205" spans="1:9" hidden="1" x14ac:dyDescent="0.2">
      <c r="A205" s="32"/>
      <c r="B205" s="32"/>
      <c r="C205" s="32"/>
      <c r="D205" s="32"/>
      <c r="E205" s="32"/>
      <c r="F205" s="32"/>
      <c r="G205" s="32"/>
      <c r="H205" s="32"/>
      <c r="I205" s="32"/>
    </row>
    <row r="206" spans="1:9" hidden="1" x14ac:dyDescent="0.2">
      <c r="A206" s="32"/>
      <c r="B206" s="32"/>
      <c r="C206" s="32"/>
      <c r="D206" s="32"/>
      <c r="E206" s="32"/>
      <c r="F206" s="32"/>
      <c r="G206" s="32"/>
      <c r="H206" s="32"/>
      <c r="I206" s="32"/>
    </row>
    <row r="207" spans="1:9" hidden="1" x14ac:dyDescent="0.2">
      <c r="A207" s="32"/>
      <c r="B207" s="32"/>
      <c r="C207" s="32"/>
      <c r="D207" s="32"/>
      <c r="E207" s="32"/>
      <c r="F207" s="32"/>
      <c r="G207" s="32"/>
      <c r="H207" s="32"/>
      <c r="I207" s="32"/>
    </row>
    <row r="208" spans="1:9" hidden="1" x14ac:dyDescent="0.2">
      <c r="A208" s="32"/>
      <c r="B208" s="32"/>
      <c r="C208" s="32"/>
      <c r="D208" s="32"/>
      <c r="E208" s="32"/>
      <c r="F208" s="32"/>
      <c r="G208" s="32"/>
      <c r="H208" s="32"/>
      <c r="I208" s="32"/>
    </row>
    <row r="209" spans="1:9" hidden="1" x14ac:dyDescent="0.2">
      <c r="A209" s="32"/>
      <c r="B209" s="32"/>
      <c r="C209" s="32"/>
      <c r="D209" s="32"/>
      <c r="E209" s="32"/>
      <c r="F209" s="32"/>
      <c r="G209" s="32"/>
      <c r="H209" s="32"/>
      <c r="I209" s="32"/>
    </row>
    <row r="210" spans="1:9" hidden="1" x14ac:dyDescent="0.2">
      <c r="A210" s="32"/>
      <c r="B210" s="32"/>
      <c r="C210" s="32"/>
      <c r="D210" s="32"/>
      <c r="E210" s="32"/>
      <c r="F210" s="32"/>
      <c r="G210" s="32"/>
      <c r="H210" s="32"/>
      <c r="I210" s="32"/>
    </row>
    <row r="211" spans="1:9" hidden="1" x14ac:dyDescent="0.2">
      <c r="A211" s="32"/>
      <c r="B211" s="32"/>
      <c r="C211" s="32"/>
      <c r="D211" s="32"/>
      <c r="E211" s="32"/>
      <c r="F211" s="32"/>
      <c r="G211" s="32"/>
      <c r="H211" s="32"/>
      <c r="I211" s="32"/>
    </row>
    <row r="212" spans="1:9" hidden="1" x14ac:dyDescent="0.2">
      <c r="A212" s="32"/>
      <c r="B212" s="32"/>
      <c r="C212" s="32"/>
      <c r="D212" s="32"/>
      <c r="E212" s="32"/>
      <c r="F212" s="32"/>
      <c r="G212" s="32"/>
      <c r="H212" s="32"/>
      <c r="I212" s="32"/>
    </row>
    <row r="213" spans="1:9" hidden="1" x14ac:dyDescent="0.2">
      <c r="A213" s="32"/>
      <c r="B213" s="32"/>
      <c r="C213" s="32"/>
      <c r="D213" s="32"/>
      <c r="E213" s="32"/>
      <c r="F213" s="32"/>
      <c r="G213" s="32"/>
      <c r="H213" s="32"/>
      <c r="I213" s="32"/>
    </row>
    <row r="214" spans="1:9" hidden="1" x14ac:dyDescent="0.2">
      <c r="A214" s="32"/>
      <c r="B214" s="32"/>
      <c r="C214" s="32"/>
      <c r="D214" s="32"/>
      <c r="E214" s="32"/>
      <c r="F214" s="32"/>
      <c r="G214" s="32"/>
      <c r="H214" s="32"/>
      <c r="I214" s="32"/>
    </row>
    <row r="215" spans="1:9" hidden="1" x14ac:dyDescent="0.2">
      <c r="A215" s="32"/>
      <c r="B215" s="32"/>
      <c r="C215" s="32"/>
      <c r="D215" s="32"/>
      <c r="E215" s="32"/>
      <c r="F215" s="32"/>
      <c r="G215" s="32"/>
      <c r="H215" s="32"/>
      <c r="I215" s="32"/>
    </row>
    <row r="216" spans="1:9" hidden="1" x14ac:dyDescent="0.2">
      <c r="A216" s="32"/>
      <c r="B216" s="32"/>
      <c r="C216" s="32"/>
      <c r="D216" s="32"/>
      <c r="E216" s="32"/>
      <c r="F216" s="32"/>
      <c r="G216" s="32"/>
      <c r="H216" s="32"/>
      <c r="I216" s="32"/>
    </row>
    <row r="217" spans="1:9" hidden="1" x14ac:dyDescent="0.2">
      <c r="A217" s="32"/>
      <c r="B217" s="32"/>
      <c r="C217" s="32"/>
      <c r="D217" s="32"/>
      <c r="E217" s="32"/>
      <c r="F217" s="32"/>
      <c r="G217" s="32"/>
      <c r="H217" s="32"/>
      <c r="I217" s="32"/>
    </row>
    <row r="218" spans="1:9" hidden="1" x14ac:dyDescent="0.2">
      <c r="A218" s="32"/>
      <c r="B218" s="32"/>
      <c r="C218" s="32"/>
      <c r="D218" s="32"/>
      <c r="E218" s="32"/>
      <c r="F218" s="32"/>
      <c r="G218" s="32"/>
      <c r="H218" s="32"/>
      <c r="I218" s="32"/>
    </row>
    <row r="219" spans="1:9" hidden="1" x14ac:dyDescent="0.2">
      <c r="A219" s="32"/>
      <c r="B219" s="32"/>
      <c r="C219" s="32"/>
      <c r="D219" s="32"/>
      <c r="E219" s="32"/>
      <c r="F219" s="32"/>
      <c r="G219" s="32"/>
      <c r="H219" s="32"/>
      <c r="I219" s="32"/>
    </row>
    <row r="220" spans="1:9" hidden="1" x14ac:dyDescent="0.2">
      <c r="A220" s="32"/>
      <c r="B220" s="32"/>
      <c r="C220" s="32"/>
      <c r="D220" s="32"/>
      <c r="E220" s="32"/>
      <c r="F220" s="32"/>
      <c r="G220" s="32"/>
      <c r="H220" s="32"/>
      <c r="I220" s="32"/>
    </row>
    <row r="221" spans="1:9" hidden="1" x14ac:dyDescent="0.2">
      <c r="A221" s="32"/>
      <c r="B221" s="32"/>
      <c r="C221" s="32"/>
      <c r="D221" s="32"/>
      <c r="E221" s="32"/>
      <c r="F221" s="32"/>
      <c r="G221" s="32"/>
      <c r="H221" s="32"/>
      <c r="I221" s="32"/>
    </row>
    <row r="222" spans="1:9" hidden="1" x14ac:dyDescent="0.2">
      <c r="A222" s="32"/>
      <c r="B222" s="32"/>
      <c r="C222" s="32"/>
      <c r="D222" s="32"/>
      <c r="E222" s="32"/>
      <c r="F222" s="32"/>
      <c r="G222" s="32"/>
      <c r="H222" s="32"/>
      <c r="I222" s="32"/>
    </row>
    <row r="223" spans="1:9" hidden="1" x14ac:dyDescent="0.2">
      <c r="A223" s="32"/>
      <c r="B223" s="32"/>
      <c r="C223" s="32"/>
      <c r="D223" s="32"/>
      <c r="E223" s="32"/>
      <c r="F223" s="32"/>
      <c r="G223" s="32"/>
      <c r="H223" s="32"/>
      <c r="I223" s="32"/>
    </row>
    <row r="224" spans="1:9" hidden="1" x14ac:dyDescent="0.2">
      <c r="A224" s="32"/>
      <c r="B224" s="32"/>
      <c r="C224" s="32"/>
      <c r="D224" s="32"/>
      <c r="E224" s="32"/>
      <c r="F224" s="32"/>
      <c r="G224" s="32"/>
      <c r="H224" s="32"/>
      <c r="I224" s="32"/>
    </row>
    <row r="225" spans="1:9" hidden="1" x14ac:dyDescent="0.2">
      <c r="A225" s="32"/>
      <c r="B225" s="32"/>
      <c r="C225" s="32"/>
      <c r="D225" s="32"/>
      <c r="E225" s="32"/>
      <c r="F225" s="32"/>
      <c r="G225" s="32"/>
      <c r="H225" s="32"/>
      <c r="I225" s="32"/>
    </row>
    <row r="226" spans="1:9" hidden="1" x14ac:dyDescent="0.2">
      <c r="A226" s="32"/>
      <c r="B226" s="32"/>
      <c r="C226" s="32"/>
      <c r="D226" s="32"/>
      <c r="E226" s="32"/>
      <c r="F226" s="32"/>
      <c r="G226" s="32"/>
      <c r="H226" s="32"/>
      <c r="I226" s="32"/>
    </row>
    <row r="227" spans="1:9" hidden="1" x14ac:dyDescent="0.2">
      <c r="A227" s="32"/>
      <c r="B227" s="32"/>
      <c r="C227" s="32"/>
      <c r="D227" s="32"/>
      <c r="E227" s="32"/>
      <c r="F227" s="32"/>
      <c r="G227" s="32"/>
      <c r="H227" s="32"/>
      <c r="I227" s="32"/>
    </row>
    <row r="228" spans="1:9" hidden="1" x14ac:dyDescent="0.2">
      <c r="A228" s="32"/>
      <c r="B228" s="32"/>
      <c r="C228" s="32"/>
      <c r="D228" s="32"/>
      <c r="E228" s="32"/>
      <c r="F228" s="32"/>
      <c r="G228" s="32"/>
      <c r="H228" s="32"/>
      <c r="I228" s="32"/>
    </row>
    <row r="229" spans="1:9" hidden="1" x14ac:dyDescent="0.2">
      <c r="A229" s="32"/>
      <c r="B229" s="32"/>
      <c r="C229" s="32"/>
      <c r="D229" s="32"/>
      <c r="E229" s="32"/>
      <c r="F229" s="32"/>
      <c r="G229" s="32"/>
      <c r="H229" s="32"/>
      <c r="I229" s="32"/>
    </row>
    <row r="230" spans="1:9" hidden="1" x14ac:dyDescent="0.2">
      <c r="A230" s="32"/>
      <c r="B230" s="32"/>
      <c r="C230" s="32"/>
      <c r="D230" s="32"/>
      <c r="E230" s="32"/>
      <c r="F230" s="32"/>
      <c r="G230" s="32"/>
      <c r="H230" s="32"/>
      <c r="I230" s="32"/>
    </row>
    <row r="231" spans="1:9" hidden="1" x14ac:dyDescent="0.2">
      <c r="A231" s="32"/>
      <c r="B231" s="32"/>
      <c r="C231" s="32"/>
      <c r="D231" s="32"/>
      <c r="E231" s="32"/>
      <c r="F231" s="32"/>
      <c r="G231" s="32"/>
      <c r="H231" s="32"/>
      <c r="I231" s="32"/>
    </row>
    <row r="232" spans="1:9" hidden="1" x14ac:dyDescent="0.2">
      <c r="A232" s="32"/>
      <c r="B232" s="32"/>
      <c r="C232" s="32"/>
      <c r="D232" s="32"/>
      <c r="E232" s="32"/>
      <c r="F232" s="32"/>
      <c r="G232" s="32"/>
      <c r="H232" s="32"/>
      <c r="I232" s="32"/>
    </row>
    <row r="233" spans="1:9" hidden="1" x14ac:dyDescent="0.2">
      <c r="A233" s="32"/>
      <c r="B233" s="32"/>
      <c r="C233" s="32"/>
      <c r="D233" s="32"/>
      <c r="E233" s="32"/>
      <c r="F233" s="32"/>
      <c r="G233" s="32"/>
      <c r="H233" s="32"/>
      <c r="I233" s="32"/>
    </row>
    <row r="234" spans="1:9" hidden="1" x14ac:dyDescent="0.2">
      <c r="A234" s="32"/>
      <c r="B234" s="32"/>
      <c r="C234" s="32"/>
      <c r="D234" s="32"/>
      <c r="E234" s="32"/>
      <c r="F234" s="32"/>
      <c r="G234" s="32"/>
      <c r="H234" s="32"/>
      <c r="I234" s="32"/>
    </row>
    <row r="235" spans="1:9" hidden="1" x14ac:dyDescent="0.2">
      <c r="A235" s="32"/>
      <c r="B235" s="32"/>
      <c r="C235" s="32"/>
      <c r="D235" s="32"/>
      <c r="E235" s="32"/>
      <c r="F235" s="32"/>
      <c r="G235" s="32"/>
      <c r="H235" s="32"/>
      <c r="I235" s="32"/>
    </row>
    <row r="236" spans="1:9" hidden="1" x14ac:dyDescent="0.2">
      <c r="A236" s="32"/>
      <c r="B236" s="32"/>
      <c r="C236" s="32"/>
      <c r="D236" s="32"/>
      <c r="E236" s="32"/>
      <c r="F236" s="32"/>
      <c r="G236" s="32"/>
      <c r="H236" s="32"/>
      <c r="I236" s="32"/>
    </row>
    <row r="237" spans="1:9" hidden="1" x14ac:dyDescent="0.2">
      <c r="A237" s="32"/>
      <c r="B237" s="32"/>
      <c r="C237" s="32"/>
      <c r="D237" s="32"/>
      <c r="E237" s="32"/>
      <c r="F237" s="32"/>
      <c r="G237" s="32"/>
      <c r="H237" s="32"/>
      <c r="I237" s="32"/>
    </row>
    <row r="238" spans="1:9" hidden="1" x14ac:dyDescent="0.2">
      <c r="A238" s="32"/>
      <c r="B238" s="32"/>
      <c r="C238" s="32"/>
      <c r="D238" s="32"/>
      <c r="E238" s="32"/>
      <c r="F238" s="32"/>
      <c r="G238" s="32"/>
      <c r="H238" s="32"/>
      <c r="I238" s="32"/>
    </row>
    <row r="239" spans="1:9" hidden="1" x14ac:dyDescent="0.2">
      <c r="A239" s="32"/>
      <c r="B239" s="32"/>
      <c r="C239" s="32"/>
      <c r="D239" s="32"/>
      <c r="E239" s="32"/>
      <c r="F239" s="32"/>
      <c r="G239" s="32"/>
      <c r="H239" s="32"/>
      <c r="I239" s="32"/>
    </row>
    <row r="240" spans="1:9" hidden="1" x14ac:dyDescent="0.2">
      <c r="A240" s="32"/>
      <c r="B240" s="32"/>
      <c r="C240" s="32"/>
      <c r="D240" s="32"/>
      <c r="E240" s="32"/>
      <c r="F240" s="32"/>
      <c r="G240" s="32"/>
      <c r="H240" s="32"/>
      <c r="I240" s="32"/>
    </row>
    <row r="241" spans="1:9" hidden="1" x14ac:dyDescent="0.2">
      <c r="A241" s="32"/>
      <c r="B241" s="32"/>
      <c r="C241" s="32"/>
      <c r="D241" s="32"/>
      <c r="E241" s="32"/>
      <c r="F241" s="32"/>
      <c r="G241" s="32"/>
      <c r="H241" s="32"/>
      <c r="I241" s="32"/>
    </row>
    <row r="242" spans="1:9" hidden="1" x14ac:dyDescent="0.2">
      <c r="A242" s="32"/>
      <c r="B242" s="32"/>
      <c r="C242" s="32"/>
      <c r="D242" s="32"/>
      <c r="E242" s="32"/>
      <c r="F242" s="32"/>
      <c r="G242" s="32"/>
      <c r="H242" s="32"/>
      <c r="I242" s="32"/>
    </row>
    <row r="243" spans="1:9" hidden="1" x14ac:dyDescent="0.2">
      <c r="A243" s="32"/>
      <c r="B243" s="32"/>
      <c r="C243" s="32"/>
      <c r="D243" s="32"/>
      <c r="E243" s="32"/>
      <c r="F243" s="32"/>
      <c r="G243" s="32"/>
      <c r="H243" s="32"/>
      <c r="I243" s="32"/>
    </row>
    <row r="244" spans="1:9" hidden="1" x14ac:dyDescent="0.2">
      <c r="A244" s="32"/>
      <c r="B244" s="32"/>
      <c r="C244" s="32"/>
      <c r="D244" s="32"/>
      <c r="E244" s="32"/>
      <c r="F244" s="32"/>
      <c r="G244" s="32"/>
      <c r="H244" s="32"/>
      <c r="I244" s="32"/>
    </row>
    <row r="245" spans="1:9" hidden="1" x14ac:dyDescent="0.2">
      <c r="A245" s="32"/>
      <c r="B245" s="32"/>
      <c r="C245" s="32"/>
      <c r="D245" s="32"/>
      <c r="E245" s="32"/>
      <c r="F245" s="32"/>
      <c r="G245" s="32"/>
      <c r="H245" s="32"/>
      <c r="I245" s="32"/>
    </row>
    <row r="246" spans="1:9" hidden="1" x14ac:dyDescent="0.2">
      <c r="A246" s="32"/>
      <c r="B246" s="32"/>
      <c r="C246" s="32"/>
      <c r="D246" s="32"/>
      <c r="E246" s="32"/>
      <c r="F246" s="32"/>
      <c r="G246" s="32"/>
      <c r="H246" s="32"/>
      <c r="I246" s="32"/>
    </row>
    <row r="247" spans="1:9" hidden="1" x14ac:dyDescent="0.2">
      <c r="A247" s="32"/>
      <c r="B247" s="32"/>
      <c r="C247" s="32"/>
      <c r="D247" s="32"/>
      <c r="E247" s="32"/>
      <c r="F247" s="32"/>
      <c r="G247" s="32"/>
      <c r="H247" s="32"/>
      <c r="I247" s="32"/>
    </row>
    <row r="248" spans="1:9" hidden="1" x14ac:dyDescent="0.2">
      <c r="A248" s="32"/>
      <c r="B248" s="32"/>
      <c r="C248" s="32"/>
      <c r="D248" s="32"/>
      <c r="E248" s="32"/>
      <c r="F248" s="32"/>
      <c r="G248" s="32"/>
      <c r="H248" s="32"/>
      <c r="I248" s="32"/>
    </row>
    <row r="249" spans="1:9" hidden="1" x14ac:dyDescent="0.2">
      <c r="A249" s="32"/>
      <c r="B249" s="32"/>
      <c r="C249" s="32"/>
      <c r="D249" s="32"/>
      <c r="E249" s="32"/>
      <c r="F249" s="32"/>
      <c r="G249" s="32"/>
      <c r="H249" s="32"/>
      <c r="I249" s="32"/>
    </row>
    <row r="250" spans="1:9" hidden="1" x14ac:dyDescent="0.2">
      <c r="A250" s="32"/>
      <c r="B250" s="32"/>
      <c r="C250" s="32"/>
      <c r="D250" s="32"/>
      <c r="E250" s="32"/>
      <c r="F250" s="32"/>
      <c r="G250" s="32"/>
      <c r="H250" s="32"/>
      <c r="I250" s="32"/>
    </row>
    <row r="251" spans="1:9" hidden="1" x14ac:dyDescent="0.2">
      <c r="A251" s="32"/>
      <c r="B251" s="32"/>
      <c r="C251" s="32"/>
      <c r="D251" s="32"/>
      <c r="E251" s="32"/>
      <c r="F251" s="32"/>
      <c r="G251" s="32"/>
      <c r="H251" s="32"/>
      <c r="I251" s="32"/>
    </row>
    <row r="252" spans="1:9" hidden="1" x14ac:dyDescent="0.2">
      <c r="A252" s="32"/>
      <c r="B252" s="32"/>
      <c r="C252" s="32"/>
      <c r="D252" s="32"/>
      <c r="E252" s="32"/>
      <c r="F252" s="32"/>
      <c r="G252" s="32"/>
      <c r="H252" s="32"/>
      <c r="I252" s="32"/>
    </row>
    <row r="253" spans="1:9" hidden="1" x14ac:dyDescent="0.2">
      <c r="A253" s="32"/>
      <c r="B253" s="32"/>
      <c r="C253" s="32"/>
      <c r="D253" s="32"/>
      <c r="E253" s="32"/>
      <c r="F253" s="32"/>
      <c r="G253" s="32"/>
      <c r="H253" s="32"/>
      <c r="I253" s="32"/>
    </row>
    <row r="254" spans="1:9" hidden="1" x14ac:dyDescent="0.2">
      <c r="A254" s="32"/>
      <c r="B254" s="32"/>
      <c r="C254" s="32"/>
      <c r="D254" s="32"/>
      <c r="E254" s="32"/>
      <c r="F254" s="32"/>
      <c r="G254" s="32"/>
      <c r="H254" s="32"/>
      <c r="I254" s="32"/>
    </row>
    <row r="255" spans="1:9" hidden="1" x14ac:dyDescent="0.2">
      <c r="A255" s="32"/>
      <c r="B255" s="32"/>
      <c r="C255" s="32"/>
      <c r="D255" s="32"/>
      <c r="E255" s="32"/>
      <c r="F255" s="32"/>
      <c r="G255" s="32"/>
      <c r="H255" s="32"/>
      <c r="I255" s="32"/>
    </row>
    <row r="256" spans="1:9" hidden="1" x14ac:dyDescent="0.2">
      <c r="A256" s="32"/>
      <c r="B256" s="32"/>
      <c r="C256" s="32"/>
      <c r="D256" s="32"/>
      <c r="E256" s="32"/>
      <c r="F256" s="32"/>
      <c r="G256" s="32"/>
      <c r="H256" s="32"/>
      <c r="I256" s="32"/>
    </row>
    <row r="257" spans="1:9" hidden="1" x14ac:dyDescent="0.2">
      <c r="A257" s="32"/>
      <c r="B257" s="32"/>
      <c r="C257" s="32"/>
      <c r="D257" s="32"/>
      <c r="E257" s="32"/>
      <c r="F257" s="32"/>
      <c r="G257" s="32"/>
      <c r="H257" s="32"/>
      <c r="I257" s="32"/>
    </row>
    <row r="258" spans="1:9" hidden="1" x14ac:dyDescent="0.2">
      <c r="A258" s="32"/>
      <c r="B258" s="32"/>
      <c r="C258" s="32"/>
      <c r="D258" s="32"/>
      <c r="E258" s="32"/>
      <c r="F258" s="32"/>
      <c r="G258" s="32"/>
      <c r="H258" s="32"/>
      <c r="I258" s="32"/>
    </row>
    <row r="259" spans="1:9" hidden="1" x14ac:dyDescent="0.2">
      <c r="A259" s="32"/>
      <c r="B259" s="32"/>
      <c r="C259" s="32"/>
      <c r="D259" s="32"/>
      <c r="E259" s="32"/>
      <c r="F259" s="32"/>
      <c r="G259" s="32"/>
      <c r="H259" s="32"/>
      <c r="I259" s="32"/>
    </row>
    <row r="260" spans="1:9" hidden="1" x14ac:dyDescent="0.2">
      <c r="A260" s="32"/>
      <c r="B260" s="32"/>
      <c r="C260" s="32"/>
      <c r="D260" s="32"/>
      <c r="E260" s="32"/>
      <c r="F260" s="32"/>
      <c r="G260" s="32"/>
      <c r="H260" s="32"/>
      <c r="I260" s="32"/>
    </row>
    <row r="261" spans="1:9" hidden="1" x14ac:dyDescent="0.2">
      <c r="A261" s="32"/>
      <c r="B261" s="32"/>
      <c r="C261" s="32"/>
      <c r="D261" s="32"/>
      <c r="E261" s="32"/>
      <c r="F261" s="32"/>
      <c r="G261" s="32"/>
      <c r="H261" s="32"/>
      <c r="I261" s="32"/>
    </row>
    <row r="262" spans="1:9" hidden="1" x14ac:dyDescent="0.2">
      <c r="A262" s="32"/>
      <c r="B262" s="32"/>
      <c r="C262" s="32"/>
      <c r="D262" s="32"/>
      <c r="E262" s="32"/>
      <c r="F262" s="32"/>
      <c r="G262" s="32"/>
      <c r="H262" s="32"/>
      <c r="I262" s="32"/>
    </row>
    <row r="263" spans="1:9" hidden="1" x14ac:dyDescent="0.2">
      <c r="A263" s="32"/>
      <c r="B263" s="32"/>
      <c r="C263" s="32"/>
      <c r="D263" s="32"/>
      <c r="E263" s="32"/>
      <c r="F263" s="32"/>
      <c r="G263" s="32"/>
      <c r="H263" s="32"/>
      <c r="I263" s="32"/>
    </row>
    <row r="264" spans="1:9" hidden="1" x14ac:dyDescent="0.2">
      <c r="A264" s="32"/>
      <c r="B264" s="32"/>
      <c r="C264" s="32"/>
      <c r="D264" s="32"/>
      <c r="E264" s="32"/>
      <c r="F264" s="32"/>
      <c r="G264" s="32"/>
      <c r="H264" s="32"/>
      <c r="I264" s="32"/>
    </row>
    <row r="265" spans="1:9" hidden="1" x14ac:dyDescent="0.2">
      <c r="A265" s="32"/>
      <c r="B265" s="32"/>
      <c r="C265" s="32"/>
      <c r="D265" s="32"/>
      <c r="E265" s="32"/>
      <c r="F265" s="32"/>
      <c r="G265" s="32"/>
      <c r="H265" s="32"/>
      <c r="I265" s="32"/>
    </row>
    <row r="266" spans="1:9" hidden="1" x14ac:dyDescent="0.2">
      <c r="A266" s="32"/>
      <c r="B266" s="32"/>
      <c r="C266" s="32"/>
      <c r="D266" s="32"/>
      <c r="E266" s="32"/>
      <c r="F266" s="32"/>
      <c r="G266" s="32"/>
      <c r="H266" s="32"/>
      <c r="I266" s="32"/>
    </row>
    <row r="267" spans="1:9" hidden="1" x14ac:dyDescent="0.2">
      <c r="A267" s="32"/>
      <c r="B267" s="32"/>
      <c r="C267" s="32"/>
      <c r="D267" s="32"/>
      <c r="E267" s="32"/>
      <c r="F267" s="32"/>
      <c r="G267" s="32"/>
      <c r="H267" s="32"/>
      <c r="I267" s="32"/>
    </row>
    <row r="268" spans="1:9" hidden="1" x14ac:dyDescent="0.2">
      <c r="A268" s="32"/>
      <c r="B268" s="32"/>
      <c r="C268" s="32"/>
      <c r="D268" s="32"/>
      <c r="E268" s="32"/>
      <c r="F268" s="32"/>
      <c r="G268" s="32"/>
      <c r="H268" s="32"/>
      <c r="I268" s="32"/>
    </row>
    <row r="269" spans="1:9" hidden="1" x14ac:dyDescent="0.2">
      <c r="A269" s="32"/>
      <c r="B269" s="32"/>
      <c r="C269" s="32"/>
      <c r="D269" s="32"/>
      <c r="E269" s="32"/>
      <c r="F269" s="32"/>
      <c r="G269" s="32"/>
      <c r="H269" s="32"/>
      <c r="I269" s="32"/>
    </row>
    <row r="270" spans="1:9" hidden="1" x14ac:dyDescent="0.2">
      <c r="A270" s="32"/>
      <c r="B270" s="32"/>
      <c r="C270" s="32"/>
      <c r="D270" s="32"/>
      <c r="E270" s="32"/>
      <c r="F270" s="32"/>
      <c r="G270" s="32"/>
      <c r="H270" s="32"/>
      <c r="I270" s="32"/>
    </row>
    <row r="271" spans="1:9" hidden="1" x14ac:dyDescent="0.2">
      <c r="A271" s="32"/>
      <c r="B271" s="32"/>
      <c r="C271" s="32"/>
      <c r="D271" s="32"/>
      <c r="E271" s="32"/>
      <c r="F271" s="32"/>
      <c r="G271" s="32"/>
      <c r="H271" s="32"/>
      <c r="I271" s="32"/>
    </row>
    <row r="272" spans="1:9" hidden="1" x14ac:dyDescent="0.2">
      <c r="A272" s="32"/>
      <c r="B272" s="32"/>
      <c r="C272" s="32"/>
      <c r="D272" s="32"/>
      <c r="E272" s="32"/>
      <c r="F272" s="32"/>
      <c r="G272" s="32"/>
      <c r="H272" s="32"/>
      <c r="I272" s="32"/>
    </row>
    <row r="273" spans="1:9" hidden="1" x14ac:dyDescent="0.2">
      <c r="A273" s="32"/>
      <c r="B273" s="32"/>
      <c r="C273" s="32"/>
      <c r="D273" s="32"/>
      <c r="E273" s="32"/>
      <c r="F273" s="32"/>
      <c r="G273" s="32"/>
      <c r="H273" s="32"/>
      <c r="I273" s="32"/>
    </row>
    <row r="274" spans="1:9" hidden="1" x14ac:dyDescent="0.2">
      <c r="A274" s="32"/>
      <c r="B274" s="32"/>
      <c r="C274" s="32"/>
      <c r="D274" s="32"/>
      <c r="E274" s="32"/>
      <c r="F274" s="32"/>
      <c r="G274" s="32"/>
      <c r="H274" s="32"/>
      <c r="I274" s="32"/>
    </row>
    <row r="275" spans="1:9" hidden="1" x14ac:dyDescent="0.2">
      <c r="A275" s="32"/>
      <c r="B275" s="32"/>
      <c r="C275" s="32"/>
      <c r="D275" s="32"/>
      <c r="E275" s="32"/>
      <c r="F275" s="32"/>
      <c r="G275" s="32"/>
      <c r="H275" s="32"/>
      <c r="I275" s="32"/>
    </row>
    <row r="276" spans="1:9" hidden="1" x14ac:dyDescent="0.2">
      <c r="A276" s="32"/>
      <c r="B276" s="32"/>
      <c r="C276" s="32"/>
      <c r="D276" s="32"/>
      <c r="E276" s="32"/>
      <c r="F276" s="32"/>
      <c r="G276" s="32"/>
      <c r="H276" s="32"/>
      <c r="I276" s="32"/>
    </row>
    <row r="277" spans="1:9" hidden="1" x14ac:dyDescent="0.2">
      <c r="A277" s="32"/>
      <c r="B277" s="32"/>
      <c r="C277" s="32"/>
      <c r="D277" s="32"/>
      <c r="E277" s="32"/>
      <c r="F277" s="32"/>
      <c r="G277" s="32"/>
      <c r="H277" s="32"/>
      <c r="I277" s="32"/>
    </row>
    <row r="278" spans="1:9" hidden="1" x14ac:dyDescent="0.2">
      <c r="A278" s="32"/>
      <c r="B278" s="32"/>
      <c r="C278" s="32"/>
      <c r="D278" s="32"/>
      <c r="E278" s="32"/>
      <c r="F278" s="32"/>
      <c r="G278" s="32"/>
      <c r="H278" s="32"/>
      <c r="I278" s="32"/>
    </row>
    <row r="279" spans="1:9" hidden="1" x14ac:dyDescent="0.2">
      <c r="A279" s="32"/>
      <c r="B279" s="32"/>
      <c r="C279" s="32"/>
      <c r="D279" s="32"/>
      <c r="E279" s="32"/>
      <c r="F279" s="32"/>
      <c r="G279" s="32"/>
      <c r="H279" s="32"/>
      <c r="I279" s="32"/>
    </row>
    <row r="280" spans="1:9" hidden="1" x14ac:dyDescent="0.2">
      <c r="A280" s="32"/>
      <c r="B280" s="32"/>
      <c r="C280" s="32"/>
      <c r="D280" s="32"/>
      <c r="E280" s="32"/>
      <c r="F280" s="32"/>
      <c r="G280" s="32"/>
      <c r="H280" s="32"/>
      <c r="I280" s="32"/>
    </row>
    <row r="281" spans="1:9" hidden="1" x14ac:dyDescent="0.2">
      <c r="A281" s="32"/>
      <c r="B281" s="32"/>
      <c r="C281" s="32"/>
      <c r="D281" s="32"/>
      <c r="E281" s="32"/>
      <c r="F281" s="32"/>
      <c r="G281" s="32"/>
      <c r="H281" s="32"/>
      <c r="I281" s="32"/>
    </row>
    <row r="282" spans="1:9" hidden="1" x14ac:dyDescent="0.2">
      <c r="A282" s="32"/>
      <c r="B282" s="32"/>
      <c r="C282" s="32"/>
      <c r="D282" s="32"/>
      <c r="E282" s="32"/>
      <c r="F282" s="32"/>
      <c r="G282" s="32"/>
      <c r="H282" s="32"/>
      <c r="I282" s="32"/>
    </row>
    <row r="283" spans="1:9" hidden="1" x14ac:dyDescent="0.2">
      <c r="A283" s="32"/>
      <c r="B283" s="32"/>
      <c r="C283" s="32"/>
      <c r="D283" s="32"/>
      <c r="E283" s="32"/>
      <c r="F283" s="32"/>
      <c r="G283" s="32"/>
      <c r="H283" s="32"/>
      <c r="I283" s="32"/>
    </row>
    <row r="284" spans="1:9" hidden="1" x14ac:dyDescent="0.2">
      <c r="A284" s="32"/>
      <c r="B284" s="32"/>
      <c r="C284" s="32"/>
      <c r="D284" s="32"/>
      <c r="E284" s="32"/>
      <c r="F284" s="32"/>
      <c r="G284" s="32"/>
      <c r="H284" s="32"/>
      <c r="I284" s="32"/>
    </row>
    <row r="285" spans="1:9" hidden="1" x14ac:dyDescent="0.2">
      <c r="A285" s="32"/>
      <c r="B285" s="32"/>
      <c r="C285" s="32"/>
      <c r="D285" s="32"/>
      <c r="E285" s="32"/>
      <c r="F285" s="32"/>
      <c r="G285" s="32"/>
      <c r="H285" s="32"/>
      <c r="I285" s="32"/>
    </row>
    <row r="286" spans="1:9" hidden="1" x14ac:dyDescent="0.2">
      <c r="A286" s="32"/>
      <c r="B286" s="32"/>
      <c r="C286" s="32"/>
      <c r="D286" s="32"/>
      <c r="E286" s="32"/>
      <c r="F286" s="32"/>
      <c r="G286" s="32"/>
      <c r="H286" s="32"/>
      <c r="I286" s="32"/>
    </row>
    <row r="287" spans="1:9" hidden="1" x14ac:dyDescent="0.2">
      <c r="A287" s="32"/>
      <c r="B287" s="32"/>
      <c r="C287" s="32"/>
      <c r="D287" s="32"/>
      <c r="E287" s="32"/>
      <c r="F287" s="32"/>
      <c r="G287" s="32"/>
      <c r="H287" s="32"/>
      <c r="I287" s="32"/>
    </row>
    <row r="288" spans="1:9" hidden="1" x14ac:dyDescent="0.2">
      <c r="A288" s="32"/>
      <c r="B288" s="32"/>
      <c r="C288" s="32"/>
      <c r="D288" s="32"/>
      <c r="E288" s="32"/>
      <c r="F288" s="32"/>
      <c r="G288" s="32"/>
      <c r="H288" s="32"/>
      <c r="I288" s="32"/>
    </row>
    <row r="289" spans="1:9" hidden="1" x14ac:dyDescent="0.2">
      <c r="A289" s="32"/>
      <c r="B289" s="32"/>
      <c r="C289" s="32"/>
      <c r="D289" s="32"/>
      <c r="E289" s="32"/>
      <c r="F289" s="32"/>
      <c r="G289" s="32"/>
      <c r="H289" s="32"/>
      <c r="I289" s="32"/>
    </row>
    <row r="290" spans="1:9" hidden="1" x14ac:dyDescent="0.2">
      <c r="A290" s="32"/>
      <c r="B290" s="32"/>
      <c r="C290" s="32"/>
      <c r="D290" s="32"/>
      <c r="E290" s="32"/>
      <c r="F290" s="32"/>
      <c r="G290" s="32"/>
      <c r="H290" s="32"/>
      <c r="I290" s="32"/>
    </row>
    <row r="291" spans="1:9" hidden="1" x14ac:dyDescent="0.2">
      <c r="A291" s="32"/>
      <c r="B291" s="32"/>
      <c r="C291" s="32"/>
      <c r="D291" s="32"/>
      <c r="E291" s="32"/>
      <c r="F291" s="32"/>
      <c r="G291" s="32"/>
      <c r="H291" s="32"/>
      <c r="I291" s="32"/>
    </row>
    <row r="292" spans="1:9" hidden="1" x14ac:dyDescent="0.2">
      <c r="A292" s="32"/>
      <c r="B292" s="32"/>
      <c r="C292" s="32"/>
      <c r="D292" s="32"/>
      <c r="E292" s="32"/>
      <c r="F292" s="32"/>
      <c r="G292" s="32"/>
      <c r="H292" s="32"/>
      <c r="I292" s="32"/>
    </row>
    <row r="293" spans="1:9" hidden="1" x14ac:dyDescent="0.2">
      <c r="A293" s="32"/>
      <c r="B293" s="32"/>
      <c r="C293" s="32"/>
      <c r="D293" s="32"/>
      <c r="E293" s="32"/>
      <c r="F293" s="32"/>
      <c r="G293" s="32"/>
      <c r="H293" s="32"/>
      <c r="I293" s="32"/>
    </row>
    <row r="294" spans="1:9" hidden="1" x14ac:dyDescent="0.2">
      <c r="A294" s="32"/>
      <c r="B294" s="32"/>
      <c r="C294" s="32"/>
      <c r="D294" s="32"/>
      <c r="E294" s="32"/>
      <c r="F294" s="32"/>
      <c r="G294" s="32"/>
      <c r="H294" s="32"/>
      <c r="I294" s="32"/>
    </row>
    <row r="295" spans="1:9" hidden="1" x14ac:dyDescent="0.2">
      <c r="A295" s="32"/>
      <c r="B295" s="32"/>
      <c r="C295" s="32"/>
      <c r="D295" s="32"/>
      <c r="E295" s="32"/>
      <c r="F295" s="32"/>
      <c r="G295" s="32"/>
      <c r="H295" s="32"/>
      <c r="I295" s="32"/>
    </row>
    <row r="296" spans="1:9" hidden="1" x14ac:dyDescent="0.2">
      <c r="A296" s="32"/>
      <c r="B296" s="32"/>
      <c r="C296" s="32"/>
      <c r="D296" s="32"/>
      <c r="E296" s="32"/>
      <c r="F296" s="32"/>
      <c r="G296" s="32"/>
      <c r="H296" s="32"/>
      <c r="I296" s="32"/>
    </row>
    <row r="297" spans="1:9" hidden="1" x14ac:dyDescent="0.2">
      <c r="A297" s="32"/>
      <c r="B297" s="32"/>
      <c r="C297" s="32"/>
      <c r="D297" s="32"/>
      <c r="E297" s="32"/>
      <c r="F297" s="32"/>
      <c r="G297" s="32"/>
      <c r="H297" s="32"/>
      <c r="I297" s="32"/>
    </row>
    <row r="298" spans="1:9" x14ac:dyDescent="0.2">
      <c r="A298" s="32"/>
      <c r="B298" s="32"/>
      <c r="C298" s="32"/>
      <c r="D298" s="32"/>
      <c r="E298" s="32"/>
      <c r="F298" s="32"/>
      <c r="G298" s="32"/>
      <c r="H298" s="32"/>
      <c r="I298" s="32"/>
    </row>
    <row r="299" spans="1:9" x14ac:dyDescent="0.2">
      <c r="A299" s="32"/>
      <c r="B299" s="32"/>
      <c r="C299" s="278" t="s">
        <v>190</v>
      </c>
      <c r="D299" s="32"/>
      <c r="E299" s="32"/>
      <c r="F299" s="32"/>
      <c r="G299" s="32"/>
      <c r="H299" s="32"/>
      <c r="I299" s="32"/>
    </row>
    <row r="300" spans="1:9" x14ac:dyDescent="0.2">
      <c r="A300" s="182">
        <v>1</v>
      </c>
      <c r="B300" s="589" t="str">
        <f t="shared" ref="B300:B310" si="2">IFERROR(INDEX(H$101:H$300,MATCH(A300&amp;". koht",H$102:H$301,0)),"")</f>
        <v>Ivar Viljaste</v>
      </c>
      <c r="C300" s="55">
        <v>40</v>
      </c>
      <c r="F300" s="32"/>
      <c r="G300" s="32"/>
      <c r="I300" s="32"/>
    </row>
    <row r="301" spans="1:9" x14ac:dyDescent="0.2">
      <c r="A301" s="182">
        <v>2</v>
      </c>
      <c r="B301" s="590" t="str">
        <f t="shared" si="2"/>
        <v>Jaan Sepp</v>
      </c>
      <c r="C301" s="55">
        <v>34</v>
      </c>
      <c r="F301" s="32"/>
      <c r="G301" s="32"/>
      <c r="I301" s="32"/>
    </row>
    <row r="302" spans="1:9" x14ac:dyDescent="0.2">
      <c r="A302" s="182">
        <v>3</v>
      </c>
      <c r="B302" s="591" t="str">
        <f t="shared" si="2"/>
        <v>Aarne Välja</v>
      </c>
      <c r="C302" s="55">
        <v>30</v>
      </c>
      <c r="F302" s="32"/>
      <c r="G302" s="32"/>
      <c r="I302" s="32"/>
    </row>
    <row r="303" spans="1:9" x14ac:dyDescent="0.2">
      <c r="A303" s="182">
        <v>4</v>
      </c>
      <c r="B303" s="175" t="str">
        <f t="shared" si="2"/>
        <v>Vladimir Ogneštšikov</v>
      </c>
      <c r="C303" s="55">
        <v>26</v>
      </c>
      <c r="F303" s="32"/>
      <c r="G303" s="32"/>
      <c r="I303" s="32"/>
    </row>
    <row r="304" spans="1:9" x14ac:dyDescent="0.2">
      <c r="A304" s="182">
        <v>5</v>
      </c>
      <c r="B304" s="175" t="str">
        <f t="shared" si="2"/>
        <v>Elmo Lageda</v>
      </c>
      <c r="C304" s="32">
        <v>24</v>
      </c>
      <c r="F304" s="32"/>
      <c r="G304" s="32"/>
      <c r="I304" s="32"/>
    </row>
    <row r="305" spans="1:9" x14ac:dyDescent="0.2">
      <c r="A305" s="182">
        <v>6</v>
      </c>
      <c r="B305" s="175" t="str">
        <f t="shared" si="2"/>
        <v>Boriss Klubov</v>
      </c>
      <c r="C305" s="32">
        <v>22</v>
      </c>
      <c r="F305" s="32"/>
      <c r="G305" s="32"/>
      <c r="I305" s="32"/>
    </row>
    <row r="306" spans="1:9" x14ac:dyDescent="0.2">
      <c r="A306" s="182">
        <v>7</v>
      </c>
      <c r="B306" s="175" t="str">
        <f t="shared" si="2"/>
        <v>Matti Vinni</v>
      </c>
      <c r="C306" s="32">
        <v>20</v>
      </c>
      <c r="F306" s="32"/>
      <c r="G306" s="32"/>
      <c r="I306" s="32"/>
    </row>
    <row r="307" spans="1:9" x14ac:dyDescent="0.2">
      <c r="A307" s="182">
        <v>8</v>
      </c>
      <c r="B307" s="175" t="str">
        <f t="shared" si="2"/>
        <v>Svetlana Veski</v>
      </c>
      <c r="C307" s="32">
        <v>18</v>
      </c>
      <c r="F307" s="32"/>
      <c r="G307" s="32"/>
      <c r="I307" s="32"/>
    </row>
    <row r="308" spans="1:9" x14ac:dyDescent="0.2">
      <c r="A308" s="182">
        <v>9</v>
      </c>
      <c r="B308" s="175" t="str">
        <f t="shared" si="2"/>
        <v>Andres Veski</v>
      </c>
      <c r="C308" s="32">
        <v>16</v>
      </c>
      <c r="F308" s="32"/>
      <c r="G308" s="32"/>
      <c r="I308" s="32"/>
    </row>
    <row r="309" spans="1:9" x14ac:dyDescent="0.2">
      <c r="A309" s="182">
        <v>10</v>
      </c>
      <c r="B309" s="175" t="str">
        <f t="shared" si="2"/>
        <v>Mait Metsla</v>
      </c>
      <c r="C309" s="32">
        <v>14</v>
      </c>
    </row>
    <row r="310" spans="1:9" x14ac:dyDescent="0.2">
      <c r="A310" s="182">
        <v>11</v>
      </c>
      <c r="B310" s="175" t="str">
        <f t="shared" si="2"/>
        <v>Tõnu Piik</v>
      </c>
      <c r="C310" s="32">
        <v>12</v>
      </c>
    </row>
  </sheetData>
  <conditionalFormatting sqref="D7:D10">
    <cfRule type="aboveAverage" dxfId="1137" priority="45"/>
  </conditionalFormatting>
  <conditionalFormatting sqref="H18">
    <cfRule type="expression" dxfId="1136" priority="292">
      <formula>AND(#REF!=1,IF(COUNTIF(#REF!,"=1")&gt;=2,TRUE))</formula>
    </cfRule>
    <cfRule type="expression" dxfId="1135" priority="293">
      <formula>AND(#REF!=3,IF(COUNTIF(#REF!,"=3")&gt;=2,TRUE))</formula>
    </cfRule>
    <cfRule type="expression" dxfId="1134" priority="294">
      <formula>AND(#REF!=2,IF(COUNTIF(#REF!,"=2")&gt;=2,TRUE))</formula>
    </cfRule>
  </conditionalFormatting>
  <conditionalFormatting sqref="H21:H22">
    <cfRule type="expression" dxfId="1133" priority="295">
      <formula>AND(#REF!=1,IF(COUNTIF(#REF!,"=1")&gt;=2,TRUE))</formula>
    </cfRule>
    <cfRule type="expression" dxfId="1132" priority="296">
      <formula>AND(#REF!=3,IF(COUNTIF(#REF!,"=3")&gt;=2,TRUE))</formula>
    </cfRule>
    <cfRule type="expression" dxfId="1131" priority="297">
      <formula>AND(#REF!=2,IF(COUNTIF(#REF!,"=2")&gt;=2,TRUE))</formula>
    </cfRule>
  </conditionalFormatting>
  <conditionalFormatting sqref="B10">
    <cfRule type="duplicateValues" dxfId="1130" priority="287"/>
  </conditionalFormatting>
  <conditionalFormatting sqref="G13:G16">
    <cfRule type="containsText" dxfId="1129" priority="277" operator="containsText" text="2">
      <formula>NOT(ISERROR(SEARCH("2",G13)))</formula>
    </cfRule>
    <cfRule type="containsText" dxfId="1128" priority="278" operator="containsText" text="1">
      <formula>NOT(ISERROR(SEARCH("1",G13)))</formula>
    </cfRule>
  </conditionalFormatting>
  <conditionalFormatting sqref="G16">
    <cfRule type="expression" dxfId="1127" priority="276">
      <formula>B16="-"</formula>
    </cfRule>
  </conditionalFormatting>
  <conditionalFormatting sqref="C13 C16">
    <cfRule type="aboveAverage" dxfId="1126" priority="275"/>
  </conditionalFormatting>
  <conditionalFormatting sqref="C14:C15">
    <cfRule type="aboveAverage" dxfId="1125" priority="274"/>
  </conditionalFormatting>
  <conditionalFormatting sqref="G19:G22">
    <cfRule type="containsText" dxfId="1124" priority="272" operator="containsText" text="2">
      <formula>NOT(ISERROR(SEARCH("2",G19)))</formula>
    </cfRule>
    <cfRule type="containsText" dxfId="1123" priority="273" operator="containsText" text="1">
      <formula>NOT(ISERROR(SEARCH("1",G19)))</formula>
    </cfRule>
  </conditionalFormatting>
  <conditionalFormatting sqref="G22">
    <cfRule type="expression" dxfId="1122" priority="271">
      <formula>B22="-"</formula>
    </cfRule>
  </conditionalFormatting>
  <conditionalFormatting sqref="C19 C22">
    <cfRule type="aboveAverage" dxfId="1121" priority="270"/>
  </conditionalFormatting>
  <conditionalFormatting sqref="C20:C21">
    <cfRule type="aboveAverage" dxfId="1120" priority="269"/>
  </conditionalFormatting>
  <conditionalFormatting sqref="E16">
    <cfRule type="expression" dxfId="1119" priority="245">
      <formula>AND(COUNT(E13:E16)&lt;2,IF(ISNUMBER(C16),C13&gt;C16))</formula>
    </cfRule>
  </conditionalFormatting>
  <conditionalFormatting sqref="E13">
    <cfRule type="expression" dxfId="1118" priority="244">
      <formula>AND(COUNT(E13:E16)&lt;2,IF(ISNUMBER(C13),C16&gt;C13))</formula>
    </cfRule>
  </conditionalFormatting>
  <conditionalFormatting sqref="E14">
    <cfRule type="expression" dxfId="1117" priority="243">
      <formula>AND(COUNT(E13:E16)&lt;2,IF(ISNUMBER(C14),C15&gt;C14))</formula>
    </cfRule>
  </conditionalFormatting>
  <conditionalFormatting sqref="E15">
    <cfRule type="expression" dxfId="1116" priority="242">
      <formula>AND(COUNT(E13:E16)&lt;2,IF(ISNUMBER(C15),C14&gt;C15))</formula>
    </cfRule>
  </conditionalFormatting>
  <conditionalFormatting sqref="E13:E16">
    <cfRule type="aboveAverage" dxfId="1115" priority="241"/>
  </conditionalFormatting>
  <conditionalFormatting sqref="F13">
    <cfRule type="expression" dxfId="1114" priority="236">
      <formula>AND(COUNT(F13:F16)&lt;2,IF(COUNT(E13:E16)=2,IF(AND(ISNUMBER(E13),COUNTIF(E13:E16,E13)=1,E13=MAX(E13:E16)),TRUE,FALSE)))</formula>
    </cfRule>
    <cfRule type="expression" dxfId="1113" priority="240">
      <formula>AND(COUNT(F13:F16)&lt;2,IF(COUNT(D13:D16)=2,IF(AND(ISNUMBER(D13),COUNTIF(D13:D16,D13)=1,D13=MIN(D13:D16)),TRUE,FALSE)))</formula>
    </cfRule>
  </conditionalFormatting>
  <conditionalFormatting sqref="F14">
    <cfRule type="expression" dxfId="1112" priority="235">
      <formula>AND(COUNT(F13:F16)&lt;2,IF(COUNT(E13:E16)=2,IF(AND(ISNUMBER(E14),COUNTIF(E13:E16,E14)=1,E14=MAX(E13:E16)),TRUE,FALSE)))</formula>
    </cfRule>
    <cfRule type="expression" dxfId="1111" priority="239">
      <formula>AND(COUNT(F13:F16)&lt;2,IF(COUNT(D13:D16)=2,IF(AND(ISNUMBER(D14),COUNTIF(D13:D16,D14)=1,D14=MIN(D13:D16)),TRUE,FALSE)))</formula>
    </cfRule>
  </conditionalFormatting>
  <conditionalFormatting sqref="F15">
    <cfRule type="expression" dxfId="1110" priority="234">
      <formula>AND(COUNT(F13:F16)&lt;2,IF(COUNT(E13:E16)=2,IF(AND(ISNUMBER(E15),COUNTIF(E13:E16,E15)=1,E15=MAX(E13:E16)),TRUE,FALSE)))</formula>
    </cfRule>
    <cfRule type="expression" dxfId="1109" priority="238">
      <formula>AND(COUNT(F13:F16)&lt;2,IF(COUNT(D13:D16)=2,IF(AND(ISNUMBER(D15),COUNTIF(D13:D16,D15)=1,D15=MIN(D13:D16)),TRUE,FALSE)))</formula>
    </cfRule>
  </conditionalFormatting>
  <conditionalFormatting sqref="F16">
    <cfRule type="expression" dxfId="1108" priority="233">
      <formula>AND(COUNT(F13:F16)&lt;2,IF(COUNT(E13:E16)=2,IF(AND(ISNUMBER(E16),COUNTIF(E13:E16,E16)=1,E16=MAX(E13:E16)),TRUE,FALSE)))</formula>
    </cfRule>
    <cfRule type="expression" dxfId="1107" priority="237">
      <formula>AND(COUNT(F13:F16)&lt;2,IF(COUNT(D13:D16)=2,IF(AND(ISNUMBER(D16),COUNTIF(D13:D16,D16)=1,D16=MIN(D13:D16)),TRUE,FALSE)))</formula>
    </cfRule>
  </conditionalFormatting>
  <conditionalFormatting sqref="F13:F16">
    <cfRule type="aboveAverage" dxfId="1106" priority="232"/>
  </conditionalFormatting>
  <conditionalFormatting sqref="D13">
    <cfRule type="expression" dxfId="1105" priority="231">
      <formula>AND(COUNT(D13:D16)&lt;2,IF(ISNUMBER(C16),C13&gt;C16))</formula>
    </cfRule>
  </conditionalFormatting>
  <conditionalFormatting sqref="D14">
    <cfRule type="expression" dxfId="1104" priority="230">
      <formula>AND(COUNT(D13:D16)&lt;2,IF(ISNUMBER(C15),C14&gt;C15))</formula>
    </cfRule>
  </conditionalFormatting>
  <conditionalFormatting sqref="D15">
    <cfRule type="expression" dxfId="1103" priority="229">
      <formula>AND(COUNT(D13:D16)&lt;2,IF(ISNUMBER(C14),C15&gt;C14))</formula>
    </cfRule>
  </conditionalFormatting>
  <conditionalFormatting sqref="D16">
    <cfRule type="expression" dxfId="1102" priority="228">
      <formula>AND(COUNT(D13:D16)&lt;2,IF(ISNUMBER(C13),C16&gt;C13))</formula>
    </cfRule>
  </conditionalFormatting>
  <conditionalFormatting sqref="D13:D16">
    <cfRule type="aboveAverage" dxfId="1101" priority="227"/>
  </conditionalFormatting>
  <conditionalFormatting sqref="E22">
    <cfRule type="expression" dxfId="1100" priority="226">
      <formula>AND(COUNT(E19:E22)&lt;2,IF(ISNUMBER(C22),C19&gt;C22))</formula>
    </cfRule>
  </conditionalFormatting>
  <conditionalFormatting sqref="E19">
    <cfRule type="expression" dxfId="1099" priority="225">
      <formula>AND(COUNT(E19:E22)&lt;2,IF(ISNUMBER(C19),C22&gt;C19))</formula>
    </cfRule>
  </conditionalFormatting>
  <conditionalFormatting sqref="E20">
    <cfRule type="expression" dxfId="1098" priority="224">
      <formula>AND(COUNT(E19:E22)&lt;2,IF(ISNUMBER(C20),C21&gt;C20))</formula>
    </cfRule>
  </conditionalFormatting>
  <conditionalFormatting sqref="E21">
    <cfRule type="expression" dxfId="1097" priority="223">
      <formula>AND(COUNT(E19:E22)&lt;2,IF(ISNUMBER(C21),C20&gt;C21))</formula>
    </cfRule>
  </conditionalFormatting>
  <conditionalFormatting sqref="E19:E22">
    <cfRule type="aboveAverage" dxfId="1096" priority="222"/>
  </conditionalFormatting>
  <conditionalFormatting sqref="F19">
    <cfRule type="expression" dxfId="1095" priority="217">
      <formula>AND(COUNT(F19:F22)&lt;2,IF(COUNT(E19:E22)=2,IF(AND(ISNUMBER(E19),COUNTIF(E19:E22,E19)=1,E19=MAX(E19:E22)),TRUE,FALSE)))</formula>
    </cfRule>
    <cfRule type="expression" dxfId="1094" priority="221">
      <formula>AND(COUNT(F19:F22)&lt;2,IF(COUNT(D19:D22)=2,IF(AND(ISNUMBER(D19),COUNTIF(D19:D22,D19)=1,D19=MIN(D19:D22)),TRUE,FALSE)))</formula>
    </cfRule>
  </conditionalFormatting>
  <conditionalFormatting sqref="F20">
    <cfRule type="expression" dxfId="1093" priority="216">
      <formula>AND(COUNT(F19:F22)&lt;2,IF(COUNT(E19:E22)=2,IF(AND(ISNUMBER(E20),COUNTIF(E19:E22,E20)=1,E20=MAX(E19:E22)),TRUE,FALSE)))</formula>
    </cfRule>
    <cfRule type="expression" dxfId="1092" priority="220">
      <formula>AND(COUNT(F19:F22)&lt;2,IF(COUNT(D19:D22)=2,IF(AND(ISNUMBER(D20),COUNTIF(D19:D22,D20)=1,D20=MIN(D19:D22)),TRUE,FALSE)))</formula>
    </cfRule>
  </conditionalFormatting>
  <conditionalFormatting sqref="F21">
    <cfRule type="expression" dxfId="1091" priority="215">
      <formula>AND(COUNT(F19:F22)&lt;2,IF(COUNT(E19:E22)=2,IF(AND(ISNUMBER(E21),COUNTIF(E19:E22,E21)=1,E21=MAX(E19:E22)),TRUE,FALSE)))</formula>
    </cfRule>
    <cfRule type="expression" dxfId="1090" priority="219">
      <formula>AND(COUNT(F19:F22)&lt;2,IF(COUNT(D19:D22)=2,IF(AND(ISNUMBER(D21),COUNTIF(D19:D22,D21)=1,D21=MIN(D19:D22)),TRUE,FALSE)))</formula>
    </cfRule>
  </conditionalFormatting>
  <conditionalFormatting sqref="F22">
    <cfRule type="expression" dxfId="1089" priority="214">
      <formula>AND(COUNT(F19:F22)&lt;2,IF(COUNT(E19:E22)=2,IF(AND(ISNUMBER(E22),COUNTIF(E19:E22,E22)=1,E22=MAX(E19:E22)),TRUE,FALSE)))</formula>
    </cfRule>
    <cfRule type="expression" dxfId="1088" priority="218">
      <formula>AND(COUNT(F19:F22)&lt;2,IF(COUNT(D19:D22)=2,IF(AND(ISNUMBER(D22),COUNTIF(D19:D22,D22)=1,D22=MIN(D19:D22)),TRUE,FALSE)))</formula>
    </cfRule>
  </conditionalFormatting>
  <conditionalFormatting sqref="F19:F22">
    <cfRule type="aboveAverage" dxfId="1087" priority="213"/>
  </conditionalFormatting>
  <conditionalFormatting sqref="D19">
    <cfRule type="expression" dxfId="1086" priority="212">
      <formula>AND(COUNT(D19:D22)&lt;2,IF(ISNUMBER(C22),C19&gt;C22))</formula>
    </cfRule>
  </conditionalFormatting>
  <conditionalFormatting sqref="D20">
    <cfRule type="expression" dxfId="1085" priority="211">
      <formula>AND(COUNT(D19:D22)&lt;2,IF(ISNUMBER(C21),C20&gt;C21))</formula>
    </cfRule>
  </conditionalFormatting>
  <conditionalFormatting sqref="D21">
    <cfRule type="expression" dxfId="1084" priority="210">
      <formula>AND(COUNT(D19:D22)&lt;2,IF(ISNUMBER(C20),C21&gt;C20))</formula>
    </cfRule>
  </conditionalFormatting>
  <conditionalFormatting sqref="D22">
    <cfRule type="expression" dxfId="1083" priority="209">
      <formula>AND(COUNT(D19:D22)&lt;2,IF(ISNUMBER(C19),C22&gt;C19))</formula>
    </cfRule>
  </conditionalFormatting>
  <conditionalFormatting sqref="D19:D22">
    <cfRule type="aboveAverage" dxfId="1082" priority="208"/>
  </conditionalFormatting>
  <conditionalFormatting sqref="B25:B28">
    <cfRule type="duplicateValues" dxfId="1081" priority="185"/>
  </conditionalFormatting>
  <conditionalFormatting sqref="G25:G28">
    <cfRule type="containsText" dxfId="1080" priority="183" operator="containsText" text="2">
      <formula>NOT(ISERROR(SEARCH("2",G25)))</formula>
    </cfRule>
    <cfRule type="containsText" dxfId="1079" priority="184" operator="containsText" text="1">
      <formula>NOT(ISERROR(SEARCH("1",G25)))</formula>
    </cfRule>
  </conditionalFormatting>
  <conditionalFormatting sqref="G28">
    <cfRule type="expression" dxfId="1078" priority="182">
      <formula>B28="-"</formula>
    </cfRule>
  </conditionalFormatting>
  <conditionalFormatting sqref="C25 C28">
    <cfRule type="aboveAverage" dxfId="1077" priority="181"/>
  </conditionalFormatting>
  <conditionalFormatting sqref="C26:C27">
    <cfRule type="aboveAverage" dxfId="1076" priority="180"/>
  </conditionalFormatting>
  <conditionalFormatting sqref="E28">
    <cfRule type="expression" dxfId="1075" priority="179">
      <formula>AND(COUNT(E25:E28)&lt;2,IF(ISNUMBER(C28),C25&gt;C28))</formula>
    </cfRule>
  </conditionalFormatting>
  <conditionalFormatting sqref="E25">
    <cfRule type="expression" dxfId="1074" priority="178">
      <formula>AND(COUNT(E25:E28)&lt;2,IF(ISNUMBER(C25),C28&gt;C25))</formula>
    </cfRule>
  </conditionalFormatting>
  <conditionalFormatting sqref="E26">
    <cfRule type="expression" dxfId="1073" priority="177">
      <formula>AND(COUNT(E25:E28)&lt;2,IF(ISNUMBER(C26),C27&gt;C26))</formula>
    </cfRule>
  </conditionalFormatting>
  <conditionalFormatting sqref="E27">
    <cfRule type="expression" dxfId="1072" priority="176">
      <formula>AND(COUNT(E25:E28)&lt;2,IF(ISNUMBER(C27),C26&gt;C27))</formula>
    </cfRule>
  </conditionalFormatting>
  <conditionalFormatting sqref="E25:E28">
    <cfRule type="aboveAverage" dxfId="1071" priority="175"/>
  </conditionalFormatting>
  <conditionalFormatting sqref="F25">
    <cfRule type="expression" dxfId="1070" priority="170">
      <formula>AND(COUNT(F25:F28)&lt;2,IF(COUNT(E25:E28)=2,IF(AND(ISNUMBER(E25),COUNTIF(E25:E28,E25)=1,E25=MAX(E25:E28)),TRUE,FALSE)))</formula>
    </cfRule>
    <cfRule type="expression" dxfId="1069" priority="174">
      <formula>AND(COUNT(F25:F28)&lt;2,IF(COUNT(D25:D28)=2,IF(AND(ISNUMBER(D25),COUNTIF(D25:D28,D25)=1,D25=MIN(D25:D28)),TRUE,FALSE)))</formula>
    </cfRule>
  </conditionalFormatting>
  <conditionalFormatting sqref="F26">
    <cfRule type="expression" dxfId="1068" priority="169">
      <formula>AND(COUNT(F25:F28)&lt;2,IF(COUNT(E25:E28)=2,IF(AND(ISNUMBER(E26),COUNTIF(E25:E28,E26)=1,E26=MAX(E25:E28)),TRUE,FALSE)))</formula>
    </cfRule>
    <cfRule type="expression" dxfId="1067" priority="173">
      <formula>AND(COUNT(F25:F28)&lt;2,IF(COUNT(D25:D28)=2,IF(AND(ISNUMBER(D26),COUNTIF(D25:D28,D26)=1,D26=MIN(D25:D28)),TRUE,FALSE)))</formula>
    </cfRule>
  </conditionalFormatting>
  <conditionalFormatting sqref="F27">
    <cfRule type="expression" dxfId="1066" priority="168">
      <formula>AND(COUNT(F25:F28)&lt;2,IF(COUNT(E25:E28)=2,IF(AND(ISNUMBER(E27),COUNTIF(E25:E28,E27)=1,E27=MAX(E25:E28)),TRUE,FALSE)))</formula>
    </cfRule>
    <cfRule type="expression" dxfId="1065" priority="172">
      <formula>AND(COUNT(F25:F28)&lt;2,IF(COUNT(D25:D28)=2,IF(AND(ISNUMBER(D27),COUNTIF(D25:D28,D27)=1,D27=MIN(D25:D28)),TRUE,FALSE)))</formula>
    </cfRule>
  </conditionalFormatting>
  <conditionalFormatting sqref="F28">
    <cfRule type="expression" dxfId="1064" priority="167">
      <formula>AND(COUNT(F25:F28)&lt;2,IF(COUNT(E25:E28)=2,IF(AND(ISNUMBER(E28),COUNTIF(E25:E28,E28)=1,E28=MAX(E25:E28)),TRUE,FALSE)))</formula>
    </cfRule>
    <cfRule type="expression" dxfId="1063" priority="171">
      <formula>AND(COUNT(F25:F28)&lt;2,IF(COUNT(D25:D28)=2,IF(AND(ISNUMBER(D28),COUNTIF(D25:D28,D28)=1,D28=MIN(D25:D28)),TRUE,FALSE)))</formula>
    </cfRule>
  </conditionalFormatting>
  <conditionalFormatting sqref="F25:F28">
    <cfRule type="aboveAverage" dxfId="1062" priority="166"/>
  </conditionalFormatting>
  <conditionalFormatting sqref="D25">
    <cfRule type="expression" dxfId="1061" priority="165">
      <formula>AND(COUNT(D25:D28)&lt;2,IF(ISNUMBER(C28),C25&gt;C28))</formula>
    </cfRule>
  </conditionalFormatting>
  <conditionalFormatting sqref="D26">
    <cfRule type="expression" dxfId="1060" priority="164">
      <formula>AND(COUNT(D25:D28)&lt;2,IF(ISNUMBER(C27),C26&gt;C27))</formula>
    </cfRule>
  </conditionalFormatting>
  <conditionalFormatting sqref="D27">
    <cfRule type="expression" dxfId="1059" priority="163">
      <formula>AND(COUNT(D25:D28)&lt;2,IF(ISNUMBER(C26),C27&gt;C26))</formula>
    </cfRule>
  </conditionalFormatting>
  <conditionalFormatting sqref="D28">
    <cfRule type="expression" dxfId="1058" priority="162">
      <formula>AND(COUNT(D25:D28)&lt;2,IF(ISNUMBER(C25),C28&gt;C25))</formula>
    </cfRule>
  </conditionalFormatting>
  <conditionalFormatting sqref="D25:D28">
    <cfRule type="aboveAverage" dxfId="1057" priority="161"/>
  </conditionalFormatting>
  <conditionalFormatting sqref="C7 C10">
    <cfRule type="aboveAverage" dxfId="1056" priority="65"/>
  </conditionalFormatting>
  <conditionalFormatting sqref="C8:C9">
    <cfRule type="aboveAverage" dxfId="1055" priority="64"/>
  </conditionalFormatting>
  <conditionalFormatting sqref="E10">
    <cfRule type="expression" dxfId="1054" priority="63">
      <formula>AND(COUNT(E7:E10)&lt;2,IF(ISNUMBER(C10),C7&gt;C10))</formula>
    </cfRule>
  </conditionalFormatting>
  <conditionalFormatting sqref="E7">
    <cfRule type="expression" dxfId="1053" priority="62">
      <formula>AND(COUNT(E7:E10)&lt;2,IF(ISNUMBER(C7),C10&gt;C7))</formula>
    </cfRule>
  </conditionalFormatting>
  <conditionalFormatting sqref="E8">
    <cfRule type="expression" dxfId="1052" priority="61">
      <formula>AND(COUNT(E7:E10)&lt;2,IF(ISNUMBER(C8),C9&gt;C8))</formula>
    </cfRule>
  </conditionalFormatting>
  <conditionalFormatting sqref="E9">
    <cfRule type="expression" dxfId="1051" priority="60">
      <formula>AND(COUNT(E7:E10)&lt;2,IF(ISNUMBER(C9),C8&gt;C9))</formula>
    </cfRule>
  </conditionalFormatting>
  <conditionalFormatting sqref="E7:E10">
    <cfRule type="aboveAverage" dxfId="1050" priority="59"/>
  </conditionalFormatting>
  <conditionalFormatting sqref="F7">
    <cfRule type="expression" dxfId="1049" priority="54">
      <formula>AND(COUNT(F7:F10)&lt;2,IF(COUNT(E7:E10)=2,IF(AND(ISNUMBER(E7),COUNTIF(E7:E10,E7)=1,E7=MAX(E7:E10)),TRUE,FALSE)))</formula>
    </cfRule>
    <cfRule type="expression" dxfId="1048" priority="58">
      <formula>AND(COUNT(F7:F10)&lt;2,IF(COUNT(D7:D10)=2,IF(AND(ISNUMBER(D7),COUNTIF(D7:D10,D7)=1,D7=MIN(D7:D10)),TRUE,FALSE)))</formula>
    </cfRule>
  </conditionalFormatting>
  <conditionalFormatting sqref="F8">
    <cfRule type="expression" dxfId="1047" priority="53">
      <formula>AND(COUNT(F7:F10)&lt;2,IF(COUNT(E7:E10)=2,IF(AND(ISNUMBER(E8),COUNTIF(E7:E10,E8)=1,E8=MAX(E7:E10)),TRUE,FALSE)))</formula>
    </cfRule>
    <cfRule type="expression" dxfId="1046" priority="57">
      <formula>AND(COUNT(F7:F10)&lt;2,IF(COUNT(D7:D10)=2,IF(AND(ISNUMBER(D8),COUNTIF(D7:D10,D8)=1,D8=MIN(D7:D10)),TRUE,FALSE)))</formula>
    </cfRule>
  </conditionalFormatting>
  <conditionalFormatting sqref="F9">
    <cfRule type="expression" dxfId="1045" priority="52">
      <formula>AND(COUNT(F7:F10)&lt;2,IF(COUNT(E7:E10)=2,IF(AND(ISNUMBER(E9),COUNTIF(E7:E10,E9)=1,E9=MAX(E7:E10)),TRUE,FALSE)))</formula>
    </cfRule>
    <cfRule type="expression" dxfId="1044" priority="56">
      <formula>AND(COUNT(F7:F10)&lt;2,IF(COUNT(D7:D10)=2,IF(AND(ISNUMBER(D9),COUNTIF(D7:D10,D9)=1,D9=MIN(D7:D10)),TRUE,FALSE)))</formula>
    </cfRule>
  </conditionalFormatting>
  <conditionalFormatting sqref="F10">
    <cfRule type="expression" dxfId="1043" priority="51">
      <formula>AND(COUNT(F7:F10)&lt;2,IF(COUNT(E7:E10)=2,IF(AND(ISNUMBER(E10),COUNTIF(E7:E10,E10)=1,E10=MAX(E7:E10)),TRUE,FALSE)))</formula>
    </cfRule>
    <cfRule type="expression" dxfId="1042" priority="55">
      <formula>AND(COUNT(F7:F10)&lt;2,IF(COUNT(D7:D10)=2,IF(AND(ISNUMBER(D10),COUNTIF(D7:D10,D10)=1,D10=MIN(D7:D10)),TRUE,FALSE)))</formula>
    </cfRule>
  </conditionalFormatting>
  <conditionalFormatting sqref="F7:F10">
    <cfRule type="aboveAverage" dxfId="1041" priority="50"/>
  </conditionalFormatting>
  <conditionalFormatting sqref="D7">
    <cfRule type="expression" dxfId="1040" priority="49">
      <formula>AND(COUNT(D7:D10)&lt;2,IF(ISNUMBER(C10),C7&gt;C10))</formula>
    </cfRule>
  </conditionalFormatting>
  <conditionalFormatting sqref="D8">
    <cfRule type="expression" dxfId="1039" priority="48">
      <formula>AND(COUNT(D7:D10)&lt;2,IF(ISNUMBER(C9),C8&gt;C9))</formula>
    </cfRule>
  </conditionalFormatting>
  <conditionalFormatting sqref="D9">
    <cfRule type="expression" dxfId="1038" priority="47">
      <formula>AND(COUNT(D7:D10)&lt;2,IF(ISNUMBER(C8),C9&gt;C8))</formula>
    </cfRule>
  </conditionalFormatting>
  <conditionalFormatting sqref="D10">
    <cfRule type="expression" dxfId="1037" priority="46">
      <formula>AND(COUNT(D7:D10)&lt;2,IF(ISNUMBER(C7),C10&gt;C7))</formula>
    </cfRule>
  </conditionalFormatting>
  <conditionalFormatting sqref="G7:G10">
    <cfRule type="containsText" dxfId="1036" priority="67" operator="containsText" text="2">
      <formula>NOT(ISERROR(SEARCH("2",G7)))</formula>
    </cfRule>
    <cfRule type="containsText" dxfId="1035" priority="68" operator="containsText" text="1">
      <formula>NOT(ISERROR(SEARCH("1",G7)))</formula>
    </cfRule>
  </conditionalFormatting>
  <conditionalFormatting sqref="G10">
    <cfRule type="expression" dxfId="1034" priority="66">
      <formula>B10="-"</formula>
    </cfRule>
  </conditionalFormatting>
  <conditionalFormatting sqref="A102:A116">
    <cfRule type="cellIs" dxfId="1033" priority="43" operator="equal">
      <formula>"-"</formula>
    </cfRule>
    <cfRule type="duplicateValues" dxfId="1032" priority="44"/>
  </conditionalFormatting>
  <conditionalFormatting sqref="C102 C104">
    <cfRule type="aboveAverage" dxfId="1031" priority="42"/>
  </conditionalFormatting>
  <conditionalFormatting sqref="C106 C108">
    <cfRule type="aboveAverage" dxfId="1030" priority="41"/>
  </conditionalFormatting>
  <conditionalFormatting sqref="E103 E107">
    <cfRule type="aboveAverage" dxfId="1029" priority="40"/>
  </conditionalFormatting>
  <conditionalFormatting sqref="C110 C112">
    <cfRule type="aboveAverage" dxfId="1028" priority="39"/>
  </conditionalFormatting>
  <conditionalFormatting sqref="C114 C116">
    <cfRule type="aboveAverage" dxfId="1027" priority="38"/>
  </conditionalFormatting>
  <conditionalFormatting sqref="E111 E115">
    <cfRule type="aboveAverage" dxfId="1026" priority="37"/>
  </conditionalFormatting>
  <conditionalFormatting sqref="G105 G113">
    <cfRule type="aboveAverage" dxfId="1025" priority="36"/>
  </conditionalFormatting>
  <conditionalFormatting sqref="G117 G119">
    <cfRule type="aboveAverage" dxfId="1024" priority="35"/>
  </conditionalFormatting>
  <conditionalFormatting sqref="C102 C104 C106 C108 C110 C112 C114 C116 E103 E107 E111 E115 G105 G113 G117 G119">
    <cfRule type="containsBlanks" dxfId="1023" priority="34">
      <formula>LEN(TRIM(C102))=0</formula>
    </cfRule>
  </conditionalFormatting>
  <conditionalFormatting sqref="E123 E125">
    <cfRule type="aboveAverage" dxfId="1022" priority="33"/>
  </conditionalFormatting>
  <conditionalFormatting sqref="E127 E129">
    <cfRule type="aboveAverage" dxfId="1021" priority="32"/>
  </conditionalFormatting>
  <conditionalFormatting sqref="G124 G128">
    <cfRule type="aboveAverage" dxfId="1020" priority="31"/>
  </conditionalFormatting>
  <conditionalFormatting sqref="G131 G133">
    <cfRule type="aboveAverage" dxfId="1019" priority="30"/>
  </conditionalFormatting>
  <conditionalFormatting sqref="E123 E125 E127 E129 G124 G128 G131 G133">
    <cfRule type="containsBlanks" dxfId="1018" priority="29">
      <formula>LEN(TRIM(E123))=0</formula>
    </cfRule>
  </conditionalFormatting>
  <conditionalFormatting sqref="D141 C142">
    <cfRule type="aboveAverage" dxfId="1017" priority="28"/>
  </conditionalFormatting>
  <conditionalFormatting sqref="E141 C143">
    <cfRule type="aboveAverage" dxfId="1016" priority="27"/>
  </conditionalFormatting>
  <conditionalFormatting sqref="F141 C144">
    <cfRule type="aboveAverage" dxfId="1015" priority="26"/>
  </conditionalFormatting>
  <conditionalFormatting sqref="E142 D143">
    <cfRule type="aboveAverage" dxfId="1014" priority="25"/>
  </conditionalFormatting>
  <conditionalFormatting sqref="G141 C145">
    <cfRule type="aboveAverage" dxfId="1013" priority="24"/>
  </conditionalFormatting>
  <conditionalFormatting sqref="F142 D144">
    <cfRule type="aboveAverage" dxfId="1012" priority="23"/>
  </conditionalFormatting>
  <conditionalFormatting sqref="G142 D145">
    <cfRule type="aboveAverage" dxfId="1011" priority="22"/>
  </conditionalFormatting>
  <conditionalFormatting sqref="F143 E144">
    <cfRule type="aboveAverage" dxfId="1010" priority="21"/>
  </conditionalFormatting>
  <conditionalFormatting sqref="G143 E145">
    <cfRule type="aboveAverage" dxfId="1009" priority="20"/>
  </conditionalFormatting>
  <conditionalFormatting sqref="F145 G144">
    <cfRule type="aboveAverage" dxfId="1008" priority="19"/>
  </conditionalFormatting>
  <conditionalFormatting sqref="K141:K145">
    <cfRule type="expression" dxfId="1007" priority="16">
      <formula>AND(J141=3,IF(COUNTIF(J$141:J$145,"=3")&gt;=2,TRUE))</formula>
    </cfRule>
    <cfRule type="expression" dxfId="1006" priority="17">
      <formula>AND(J141=1,IF(COUNTIF(J$141:J$145,"=1")&gt;=2,TRUE))</formula>
    </cfRule>
    <cfRule type="expression" dxfId="1005" priority="18">
      <formula>AND(J141=2,IF(COUNTIF(J$141:J$145,"=2")&gt;=2,TRUE))</formula>
    </cfRule>
  </conditionalFormatting>
  <conditionalFormatting sqref="H141:H145">
    <cfRule type="expression" dxfId="1004" priority="13">
      <formula>AND(J141=1,IF(COUNTIF(J$7:J$11,"=1")&gt;=2,TRUE))</formula>
    </cfRule>
    <cfRule type="expression" dxfId="1003" priority="14">
      <formula>AND(J141=3,IF(COUNTIF(J$7:J$11,"=3")&gt;=2,TRUE))</formula>
    </cfRule>
    <cfRule type="expression" dxfId="1002" priority="15">
      <formula>AND(J141=2,IF(COUNTIF(J$7:J$11,"=2")&gt;=2,TRUE))</formula>
    </cfRule>
  </conditionalFormatting>
  <conditionalFormatting sqref="I144:I145">
    <cfRule type="expression" dxfId="1001" priority="11">
      <formula>FIND(2,I144,1)</formula>
    </cfRule>
    <cfRule type="expression" dxfId="1000" priority="12">
      <formula>FIND(1,I144,1)</formula>
    </cfRule>
  </conditionalFormatting>
  <conditionalFormatting sqref="I141:I143">
    <cfRule type="expression" dxfId="999" priority="9">
      <formula>FIND(2,I141,1)</formula>
    </cfRule>
    <cfRule type="expression" dxfId="998" priority="10">
      <formula>FIND(1,I141,1)</formula>
    </cfRule>
  </conditionalFormatting>
  <conditionalFormatting sqref="L141:L145">
    <cfRule type="expression" dxfId="997" priority="6">
      <formula>OR(J141=0,J141=4)</formula>
    </cfRule>
    <cfRule type="expression" dxfId="996" priority="7">
      <formula>AND(J141=1,IF(COUNTIF(J$7:J$11,"=1")=1,TRUE))</formula>
    </cfRule>
    <cfRule type="expression" dxfId="995" priority="8">
      <formula>AND(J141=3,IF(COUNTIF(J$7:J$11,"=3")=1,TRUE))</formula>
    </cfRule>
  </conditionalFormatting>
  <conditionalFormatting sqref="B147:C149">
    <cfRule type="containsText" dxfId="994" priority="5" operator="containsText" text="I-Viru">
      <formula>NOT(ISERROR(SEARCH("I-Viru",B147)))</formula>
    </cfRule>
  </conditionalFormatting>
  <conditionalFormatting sqref="B141">
    <cfRule type="duplicateValues" dxfId="993" priority="4"/>
  </conditionalFormatting>
  <conditionalFormatting sqref="B142">
    <cfRule type="duplicateValues" dxfId="992" priority="3"/>
  </conditionalFormatting>
  <conditionalFormatting sqref="B143">
    <cfRule type="duplicateValues" dxfId="991" priority="2"/>
  </conditionalFormatting>
  <conditionalFormatting sqref="G151:H158">
    <cfRule type="containsText" dxfId="990" priority="1" operator="containsText" text="I-Viru">
      <formula>NOT(ISERROR(SEARCH("I-Viru",G151)))</formula>
    </cfRule>
  </conditionalFormatting>
  <conditionalFormatting sqref="B300:B310">
    <cfRule type="containsBlanks" dxfId="989" priority="3171">
      <formula>LEN(TRIM(B300))=0</formula>
    </cfRule>
    <cfRule type="duplicateValues" dxfId="988" priority="3172"/>
  </conditionalFormatting>
  <conditionalFormatting sqref="A300:A310">
    <cfRule type="duplicateValues" dxfId="987" priority="3173"/>
  </conditionalFormatting>
  <pageMargins left="0.78740157480314965" right="0.39370078740157483" top="0.78740157480314965" bottom="0.31496062992125984" header="0.59055118110236227" footer="0"/>
  <pageSetup paperSize="9" fitToHeight="0" orientation="landscape" horizontalDpi="1200" verticalDpi="1200" r:id="rId1"/>
  <headerFooter>
    <oddHeader>&amp;R&amp;"Arial,Regular"&amp;9Page &amp;P of &amp;N</oddHeader>
  </headerFooter>
  <rowBreaks count="2" manualBreakCount="2">
    <brk id="98" max="16383" man="1"/>
    <brk id="136"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B42"/>
  <sheetViews>
    <sheetView showGridLines="0" showRowColHeaders="0" zoomScaleNormal="100" workbookViewId="0">
      <pane ySplit="6" topLeftCell="A7" activePane="bottomLeft" state="frozen"/>
      <selection activeCell="K1" sqref="K1"/>
      <selection pane="bottomLeft" activeCell="X1" sqref="X1"/>
    </sheetView>
  </sheetViews>
  <sheetFormatPr defaultRowHeight="12.75" x14ac:dyDescent="0.2"/>
  <cols>
    <col min="1" max="1" width="3.28515625" style="32" customWidth="1"/>
    <col min="2" max="2" width="18.7109375" style="32" bestFit="1" customWidth="1"/>
    <col min="3" max="24" width="3.42578125" style="32" customWidth="1"/>
    <col min="25" max="25" width="6.5703125" style="35" bestFit="1" customWidth="1"/>
    <col min="26" max="26" width="5.140625" style="32" bestFit="1" customWidth="1"/>
    <col min="27" max="27" width="5.28515625" style="32" bestFit="1" customWidth="1"/>
    <col min="28" max="28" width="5.140625" style="32" bestFit="1" customWidth="1"/>
    <col min="29" max="16384" width="9.140625" style="32"/>
  </cols>
  <sheetData>
    <row r="1" spans="1:28" x14ac:dyDescent="0.2">
      <c r="A1" s="31" t="str">
        <f>UPPER((Kalend!E52)&amp;" - "&amp;(Kalend!C52)&amp;" - "&amp;(Kalend!D52))</f>
        <v>L - HOOAJA LÕPETAMINE (PLIKS-PLAKS) - ÜKSIK</v>
      </c>
      <c r="M1" s="28" t="str">
        <f>HYPERLINK("#Kalend!I1","Kalender")</f>
        <v>Kalender</v>
      </c>
      <c r="N1" s="2"/>
      <c r="R1" s="1365" t="str">
        <f>HYPERLINK("#'Reit'!T1","Reiting")</f>
        <v>Reiting</v>
      </c>
      <c r="S1" s="2"/>
      <c r="Y1" s="32"/>
      <c r="AA1" s="35" t="s">
        <v>21</v>
      </c>
    </row>
    <row r="2" spans="1:28" x14ac:dyDescent="0.2">
      <c r="A2" s="2" t="str">
        <f>"Toimumisaeg: "&amp;(Kalend!A52)&amp;" kell "&amp;(Kalend!B52)</f>
        <v>Toimumisaeg: P, 14.10.2018 kell 11:00</v>
      </c>
      <c r="Y2" s="32"/>
      <c r="AA2" s="35" t="s">
        <v>22</v>
      </c>
    </row>
    <row r="3" spans="1:28" x14ac:dyDescent="0.2">
      <c r="A3" s="2" t="str">
        <f>"Toimumiskoht: "&amp;(Kalend!F52)</f>
        <v>Toimumiskoht: K-Järve spordihoone</v>
      </c>
      <c r="Y3" s="32"/>
      <c r="AA3" s="35" t="s">
        <v>23</v>
      </c>
    </row>
    <row r="4" spans="1:28" x14ac:dyDescent="0.2">
      <c r="A4" s="2" t="str">
        <f>"Korraldaja: "&amp;(Kalend!G52)</f>
        <v>Korraldaja: K-Järve SHK, Ivar Viljaste</v>
      </c>
      <c r="Y4" s="1272"/>
    </row>
    <row r="5" spans="1:28" x14ac:dyDescent="0.2">
      <c r="Y5" s="1273"/>
    </row>
    <row r="6" spans="1:28" s="35" customFormat="1" x14ac:dyDescent="0.2">
      <c r="A6" s="1274" t="s">
        <v>721</v>
      </c>
      <c r="B6" s="1275" t="s">
        <v>14</v>
      </c>
      <c r="C6" s="1275" t="s">
        <v>721</v>
      </c>
      <c r="D6" s="1275">
        <v>1</v>
      </c>
      <c r="E6" s="1275">
        <v>2</v>
      </c>
      <c r="F6" s="1275">
        <v>3</v>
      </c>
      <c r="G6" s="1275">
        <v>4</v>
      </c>
      <c r="H6" s="1275">
        <v>5</v>
      </c>
      <c r="I6" s="1275">
        <v>6</v>
      </c>
      <c r="J6" s="1275">
        <v>7</v>
      </c>
      <c r="K6" s="1275">
        <v>8</v>
      </c>
      <c r="L6" s="1275">
        <v>9</v>
      </c>
      <c r="M6" s="1275">
        <v>10</v>
      </c>
      <c r="N6" s="1275">
        <v>11</v>
      </c>
      <c r="O6" s="1275">
        <v>12</v>
      </c>
      <c r="P6" s="1275">
        <v>13</v>
      </c>
      <c r="Q6" s="1275">
        <v>14</v>
      </c>
      <c r="R6" s="1275">
        <v>15</v>
      </c>
      <c r="S6" s="1275">
        <v>16</v>
      </c>
      <c r="T6" s="1275">
        <v>17</v>
      </c>
      <c r="U6" s="1275">
        <v>18</v>
      </c>
      <c r="V6" s="1275">
        <v>19</v>
      </c>
      <c r="W6" s="1275">
        <v>20</v>
      </c>
      <c r="X6" s="1275" t="s">
        <v>721</v>
      </c>
      <c r="Y6" s="1275" t="s">
        <v>25</v>
      </c>
      <c r="Z6" s="1275" t="s">
        <v>26</v>
      </c>
      <c r="AA6" s="35" t="s">
        <v>12</v>
      </c>
      <c r="AB6" s="35" t="s">
        <v>27</v>
      </c>
    </row>
    <row r="7" spans="1:28" s="35" customFormat="1" x14ac:dyDescent="0.2">
      <c r="A7" s="1276">
        <v>1</v>
      </c>
      <c r="B7" s="1277" t="s">
        <v>99</v>
      </c>
      <c r="C7" s="1275">
        <v>1</v>
      </c>
      <c r="D7" s="1278"/>
      <c r="E7" s="1279">
        <v>1</v>
      </c>
      <c r="F7" s="1280">
        <v>0</v>
      </c>
      <c r="G7" s="1280">
        <v>2</v>
      </c>
      <c r="H7" s="1280">
        <v>2</v>
      </c>
      <c r="I7" s="1280">
        <v>1</v>
      </c>
      <c r="J7" s="1280">
        <v>2</v>
      </c>
      <c r="K7" s="1280">
        <v>0</v>
      </c>
      <c r="L7" s="1280">
        <v>2</v>
      </c>
      <c r="M7" s="1280">
        <v>2</v>
      </c>
      <c r="N7" s="1280">
        <v>2</v>
      </c>
      <c r="O7" s="1280">
        <v>0</v>
      </c>
      <c r="P7" s="1280">
        <v>2</v>
      </c>
      <c r="Q7" s="1280">
        <v>2</v>
      </c>
      <c r="R7" s="1280">
        <v>1</v>
      </c>
      <c r="S7" s="1280">
        <v>2</v>
      </c>
      <c r="T7" s="1280">
        <v>2</v>
      </c>
      <c r="U7" s="1280">
        <v>1</v>
      </c>
      <c r="V7" s="1280">
        <v>0</v>
      </c>
      <c r="W7" s="1280">
        <v>0</v>
      </c>
      <c r="X7" s="1275">
        <v>1</v>
      </c>
      <c r="Y7" s="1281">
        <f t="shared" ref="Y7:Y26" si="0">SUM(D7:W7)+COUNTIF(D7:W7,2)/100</f>
        <v>24.1</v>
      </c>
      <c r="Z7" s="1282">
        <f>RANK(Y7,Y$7:Y$26,0)</f>
        <v>4</v>
      </c>
      <c r="AA7" s="658">
        <f t="shared" ref="AA7:AA26" si="1">COUNTIF(D7:W7,"=2")</f>
        <v>10</v>
      </c>
      <c r="AB7" s="659">
        <f t="shared" ref="AB7:AB26" si="2">COUNTIF(D7:W7,"=1")</f>
        <v>4</v>
      </c>
    </row>
    <row r="8" spans="1:28" s="35" customFormat="1" x14ac:dyDescent="0.2">
      <c r="A8" s="1276">
        <v>2</v>
      </c>
      <c r="B8" s="1277" t="s">
        <v>117</v>
      </c>
      <c r="C8" s="1275">
        <v>2</v>
      </c>
      <c r="D8" s="1279">
        <v>1</v>
      </c>
      <c r="E8" s="1278"/>
      <c r="F8" s="1280">
        <v>0</v>
      </c>
      <c r="G8" s="1280">
        <v>0</v>
      </c>
      <c r="H8" s="1280">
        <v>1</v>
      </c>
      <c r="I8" s="1280">
        <v>0</v>
      </c>
      <c r="J8" s="1280">
        <v>0</v>
      </c>
      <c r="K8" s="1280">
        <v>2</v>
      </c>
      <c r="L8" s="1280">
        <v>0</v>
      </c>
      <c r="M8" s="1280">
        <v>2</v>
      </c>
      <c r="N8" s="1280">
        <v>0</v>
      </c>
      <c r="O8" s="1280">
        <v>2</v>
      </c>
      <c r="P8" s="1280">
        <v>0</v>
      </c>
      <c r="Q8" s="1280">
        <v>2</v>
      </c>
      <c r="R8" s="1280">
        <v>0</v>
      </c>
      <c r="S8" s="1280">
        <v>0</v>
      </c>
      <c r="T8" s="1280">
        <v>0</v>
      </c>
      <c r="U8" s="1280">
        <v>2</v>
      </c>
      <c r="V8" s="1280">
        <v>0</v>
      </c>
      <c r="W8" s="1280">
        <v>0</v>
      </c>
      <c r="X8" s="1275">
        <v>2</v>
      </c>
      <c r="Y8" s="1281">
        <f t="shared" si="0"/>
        <v>12.05</v>
      </c>
      <c r="Z8" s="1282">
        <f>RANK(Y8,Y$7:Y$26,0)</f>
        <v>18</v>
      </c>
      <c r="AA8" s="658">
        <f t="shared" si="1"/>
        <v>5</v>
      </c>
      <c r="AB8" s="659">
        <f t="shared" si="2"/>
        <v>2</v>
      </c>
    </row>
    <row r="9" spans="1:28" s="35" customFormat="1" x14ac:dyDescent="0.2">
      <c r="A9" s="1276">
        <v>3</v>
      </c>
      <c r="B9" s="1285" t="s">
        <v>208</v>
      </c>
      <c r="C9" s="1275">
        <v>3</v>
      </c>
      <c r="D9" s="1279">
        <v>2</v>
      </c>
      <c r="E9" s="1280">
        <v>2</v>
      </c>
      <c r="F9" s="1278"/>
      <c r="G9" s="1280">
        <v>0</v>
      </c>
      <c r="H9" s="1280">
        <v>2</v>
      </c>
      <c r="I9" s="1280">
        <v>0</v>
      </c>
      <c r="J9" s="1280">
        <v>2</v>
      </c>
      <c r="K9" s="1280">
        <v>0</v>
      </c>
      <c r="L9" s="1280">
        <v>2</v>
      </c>
      <c r="M9" s="1280">
        <v>1</v>
      </c>
      <c r="N9" s="1280">
        <v>2</v>
      </c>
      <c r="O9" s="1280">
        <v>0</v>
      </c>
      <c r="P9" s="1280">
        <v>2</v>
      </c>
      <c r="Q9" s="1280">
        <v>0</v>
      </c>
      <c r="R9" s="1280">
        <v>0</v>
      </c>
      <c r="S9" s="1280">
        <v>0</v>
      </c>
      <c r="T9" s="1280">
        <v>2</v>
      </c>
      <c r="U9" s="1280">
        <v>0</v>
      </c>
      <c r="V9" s="1280">
        <v>0</v>
      </c>
      <c r="W9" s="1280">
        <v>0</v>
      </c>
      <c r="X9" s="1275">
        <v>3</v>
      </c>
      <c r="Y9" s="1298">
        <f t="shared" si="0"/>
        <v>17.079999999999998</v>
      </c>
      <c r="Z9" s="1282">
        <f t="shared" ref="Z9:Z25" si="3">RANK(Y9,Y$7:Y$26,0)</f>
        <v>14</v>
      </c>
      <c r="AA9" s="658">
        <f t="shared" si="1"/>
        <v>8</v>
      </c>
      <c r="AB9" s="659">
        <f t="shared" si="2"/>
        <v>1</v>
      </c>
    </row>
    <row r="10" spans="1:28" s="35" customFormat="1" x14ac:dyDescent="0.2">
      <c r="A10" s="1276">
        <v>4</v>
      </c>
      <c r="B10" s="1277" t="s">
        <v>209</v>
      </c>
      <c r="C10" s="1275">
        <v>4</v>
      </c>
      <c r="D10" s="1279">
        <v>0</v>
      </c>
      <c r="E10" s="1280">
        <v>2</v>
      </c>
      <c r="F10" s="1280">
        <v>2</v>
      </c>
      <c r="G10" s="1278"/>
      <c r="H10" s="1280">
        <v>1</v>
      </c>
      <c r="I10" s="1280">
        <v>0</v>
      </c>
      <c r="J10" s="1280">
        <v>2</v>
      </c>
      <c r="K10" s="1280">
        <v>2</v>
      </c>
      <c r="L10" s="1280">
        <v>2</v>
      </c>
      <c r="M10" s="1280">
        <v>0</v>
      </c>
      <c r="N10" s="1280">
        <v>0</v>
      </c>
      <c r="O10" s="1280">
        <v>0</v>
      </c>
      <c r="P10" s="1280">
        <v>0</v>
      </c>
      <c r="Q10" s="1280">
        <v>0</v>
      </c>
      <c r="R10" s="1280">
        <v>2</v>
      </c>
      <c r="S10" s="1280">
        <v>0</v>
      </c>
      <c r="T10" s="1280">
        <v>1</v>
      </c>
      <c r="U10" s="1280">
        <v>0</v>
      </c>
      <c r="V10" s="1280">
        <v>0</v>
      </c>
      <c r="W10" s="1280">
        <v>0</v>
      </c>
      <c r="X10" s="1275">
        <v>4</v>
      </c>
      <c r="Y10" s="1281">
        <f t="shared" si="0"/>
        <v>14.06</v>
      </c>
      <c r="Z10" s="1282">
        <f t="shared" si="3"/>
        <v>17</v>
      </c>
      <c r="AA10" s="658">
        <f t="shared" si="1"/>
        <v>6</v>
      </c>
      <c r="AB10" s="659">
        <f t="shared" si="2"/>
        <v>2</v>
      </c>
    </row>
    <row r="11" spans="1:28" s="35" customFormat="1" x14ac:dyDescent="0.2">
      <c r="A11" s="1276">
        <v>5</v>
      </c>
      <c r="B11" s="1277" t="s">
        <v>124</v>
      </c>
      <c r="C11" s="1275">
        <v>5</v>
      </c>
      <c r="D11" s="1279">
        <v>0</v>
      </c>
      <c r="E11" s="1280">
        <v>1</v>
      </c>
      <c r="F11" s="1280">
        <v>0</v>
      </c>
      <c r="G11" s="1280">
        <v>1</v>
      </c>
      <c r="H11" s="1278"/>
      <c r="I11" s="1279">
        <v>0</v>
      </c>
      <c r="J11" s="1280">
        <v>0</v>
      </c>
      <c r="K11" s="1280">
        <v>1</v>
      </c>
      <c r="L11" s="1280">
        <v>0</v>
      </c>
      <c r="M11" s="1280">
        <v>0</v>
      </c>
      <c r="N11" s="1280">
        <v>2</v>
      </c>
      <c r="O11" s="1280">
        <v>2</v>
      </c>
      <c r="P11" s="1280">
        <v>0</v>
      </c>
      <c r="Q11" s="1280">
        <v>2</v>
      </c>
      <c r="R11" s="1280">
        <v>0</v>
      </c>
      <c r="S11" s="1280">
        <v>0</v>
      </c>
      <c r="T11" s="1280">
        <v>0</v>
      </c>
      <c r="U11" s="1280">
        <v>2</v>
      </c>
      <c r="V11" s="1280">
        <v>0</v>
      </c>
      <c r="W11" s="1280">
        <v>0</v>
      </c>
      <c r="X11" s="1275">
        <v>5</v>
      </c>
      <c r="Y11" s="1281">
        <f t="shared" si="0"/>
        <v>11.04</v>
      </c>
      <c r="Z11" s="1282">
        <f t="shared" si="3"/>
        <v>19</v>
      </c>
      <c r="AA11" s="658">
        <f t="shared" si="1"/>
        <v>4</v>
      </c>
      <c r="AB11" s="659">
        <f t="shared" si="2"/>
        <v>3</v>
      </c>
    </row>
    <row r="12" spans="1:28" s="35" customFormat="1" x14ac:dyDescent="0.2">
      <c r="A12" s="1276">
        <v>6</v>
      </c>
      <c r="B12" s="1277" t="s">
        <v>93</v>
      </c>
      <c r="C12" s="1275">
        <v>6</v>
      </c>
      <c r="D12" s="1279">
        <v>1</v>
      </c>
      <c r="E12" s="1280">
        <v>2</v>
      </c>
      <c r="F12" s="1280">
        <v>2</v>
      </c>
      <c r="G12" s="1280">
        <v>2</v>
      </c>
      <c r="H12" s="1280">
        <v>2</v>
      </c>
      <c r="I12" s="1278"/>
      <c r="J12" s="1280">
        <v>2</v>
      </c>
      <c r="K12" s="1280">
        <v>0</v>
      </c>
      <c r="L12" s="1280">
        <v>2</v>
      </c>
      <c r="M12" s="1280">
        <v>0</v>
      </c>
      <c r="N12" s="1280">
        <v>2</v>
      </c>
      <c r="O12" s="1280">
        <v>0</v>
      </c>
      <c r="P12" s="1280">
        <v>1</v>
      </c>
      <c r="Q12" s="1280">
        <v>0</v>
      </c>
      <c r="R12" s="1280">
        <v>0</v>
      </c>
      <c r="S12" s="1280">
        <v>1</v>
      </c>
      <c r="T12" s="1280">
        <v>2</v>
      </c>
      <c r="U12" s="1280">
        <v>2</v>
      </c>
      <c r="V12" s="1280">
        <v>0</v>
      </c>
      <c r="W12" s="1280">
        <v>0</v>
      </c>
      <c r="X12" s="1275">
        <v>6</v>
      </c>
      <c r="Y12" s="1281">
        <f t="shared" si="0"/>
        <v>21.09</v>
      </c>
      <c r="Z12" s="1282">
        <f t="shared" si="3"/>
        <v>7</v>
      </c>
      <c r="AA12" s="658">
        <f t="shared" si="1"/>
        <v>9</v>
      </c>
      <c r="AB12" s="659">
        <f t="shared" si="2"/>
        <v>3</v>
      </c>
    </row>
    <row r="13" spans="1:28" s="35" customFormat="1" x14ac:dyDescent="0.2">
      <c r="A13" s="1276">
        <v>7</v>
      </c>
      <c r="B13" s="1277" t="s">
        <v>88</v>
      </c>
      <c r="C13" s="1275">
        <v>7</v>
      </c>
      <c r="D13" s="1279">
        <v>0</v>
      </c>
      <c r="E13" s="1280">
        <v>2</v>
      </c>
      <c r="F13" s="1280">
        <v>0</v>
      </c>
      <c r="G13" s="1280">
        <v>0</v>
      </c>
      <c r="H13" s="1280">
        <v>2</v>
      </c>
      <c r="I13" s="1280">
        <v>0</v>
      </c>
      <c r="J13" s="1278"/>
      <c r="K13" s="1280">
        <v>1</v>
      </c>
      <c r="L13" s="1280">
        <v>2</v>
      </c>
      <c r="M13" s="1280">
        <v>0</v>
      </c>
      <c r="N13" s="1280">
        <v>2</v>
      </c>
      <c r="O13" s="1280">
        <v>2</v>
      </c>
      <c r="P13" s="1280">
        <v>0</v>
      </c>
      <c r="Q13" s="1280">
        <v>2</v>
      </c>
      <c r="R13" s="1280">
        <v>0</v>
      </c>
      <c r="S13" s="1280">
        <v>2</v>
      </c>
      <c r="T13" s="1280">
        <v>0</v>
      </c>
      <c r="U13" s="1280">
        <v>2</v>
      </c>
      <c r="V13" s="1280">
        <v>0</v>
      </c>
      <c r="W13" s="1280">
        <v>2</v>
      </c>
      <c r="X13" s="1275">
        <v>7</v>
      </c>
      <c r="Y13" s="1281">
        <f t="shared" si="0"/>
        <v>19.09</v>
      </c>
      <c r="Z13" s="1282">
        <f t="shared" si="3"/>
        <v>9</v>
      </c>
      <c r="AA13" s="658">
        <f t="shared" si="1"/>
        <v>9</v>
      </c>
      <c r="AB13" s="659">
        <f t="shared" si="2"/>
        <v>1</v>
      </c>
    </row>
    <row r="14" spans="1:28" s="35" customFormat="1" x14ac:dyDescent="0.2">
      <c r="A14" s="1276">
        <v>8</v>
      </c>
      <c r="B14" s="1283" t="s">
        <v>97</v>
      </c>
      <c r="C14" s="1275">
        <v>8</v>
      </c>
      <c r="D14" s="1279">
        <v>2</v>
      </c>
      <c r="E14" s="1280">
        <v>0</v>
      </c>
      <c r="F14" s="1280">
        <v>2</v>
      </c>
      <c r="G14" s="1280">
        <v>0</v>
      </c>
      <c r="H14" s="1280">
        <v>1</v>
      </c>
      <c r="I14" s="1280">
        <v>2</v>
      </c>
      <c r="J14" s="1280">
        <v>1</v>
      </c>
      <c r="K14" s="1278"/>
      <c r="L14" s="1280">
        <v>2</v>
      </c>
      <c r="M14" s="1280">
        <v>1</v>
      </c>
      <c r="N14" s="1280">
        <v>1</v>
      </c>
      <c r="O14" s="1280">
        <v>1</v>
      </c>
      <c r="P14" s="1280">
        <v>2</v>
      </c>
      <c r="Q14" s="1280">
        <v>2</v>
      </c>
      <c r="R14" s="1280">
        <v>1</v>
      </c>
      <c r="S14" s="1280">
        <v>2</v>
      </c>
      <c r="T14" s="1280">
        <v>0</v>
      </c>
      <c r="U14" s="1280">
        <v>2</v>
      </c>
      <c r="V14" s="1280">
        <v>1</v>
      </c>
      <c r="W14" s="1280">
        <v>2</v>
      </c>
      <c r="X14" s="1275">
        <v>8</v>
      </c>
      <c r="Y14" s="1281">
        <f t="shared" si="0"/>
        <v>25.09</v>
      </c>
      <c r="Z14" s="1284">
        <f t="shared" si="3"/>
        <v>3</v>
      </c>
      <c r="AA14" s="658">
        <f t="shared" si="1"/>
        <v>9</v>
      </c>
      <c r="AB14" s="659">
        <f t="shared" si="2"/>
        <v>7</v>
      </c>
    </row>
    <row r="15" spans="1:28" s="35" customFormat="1" x14ac:dyDescent="0.2">
      <c r="A15" s="1276">
        <v>9</v>
      </c>
      <c r="B15" s="1277" t="s">
        <v>104</v>
      </c>
      <c r="C15" s="1275">
        <v>9</v>
      </c>
      <c r="D15" s="1279">
        <v>0</v>
      </c>
      <c r="E15" s="1280">
        <v>2</v>
      </c>
      <c r="F15" s="1280">
        <v>0</v>
      </c>
      <c r="G15" s="1280">
        <v>0</v>
      </c>
      <c r="H15" s="1280">
        <v>2</v>
      </c>
      <c r="I15" s="1280">
        <v>0</v>
      </c>
      <c r="J15" s="1280">
        <v>0</v>
      </c>
      <c r="K15" s="1280">
        <v>0</v>
      </c>
      <c r="L15" s="1278"/>
      <c r="M15" s="1280">
        <v>2</v>
      </c>
      <c r="N15" s="1280">
        <v>2</v>
      </c>
      <c r="O15" s="1280">
        <v>2</v>
      </c>
      <c r="P15" s="1280">
        <v>1</v>
      </c>
      <c r="Q15" s="1280">
        <v>2</v>
      </c>
      <c r="R15" s="1280">
        <v>1</v>
      </c>
      <c r="S15" s="1280">
        <v>2</v>
      </c>
      <c r="T15" s="1280">
        <v>0</v>
      </c>
      <c r="U15" s="1280">
        <v>2</v>
      </c>
      <c r="V15" s="1280">
        <v>0</v>
      </c>
      <c r="W15" s="1280">
        <v>0</v>
      </c>
      <c r="X15" s="1275">
        <v>9</v>
      </c>
      <c r="Y15" s="1281">
        <f t="shared" si="0"/>
        <v>18.079999999999998</v>
      </c>
      <c r="Z15" s="1282">
        <f t="shared" si="3"/>
        <v>12</v>
      </c>
      <c r="AA15" s="658">
        <f t="shared" si="1"/>
        <v>8</v>
      </c>
      <c r="AB15" s="659">
        <f t="shared" si="2"/>
        <v>2</v>
      </c>
    </row>
    <row r="16" spans="1:28" s="35" customFormat="1" x14ac:dyDescent="0.2">
      <c r="A16" s="1276">
        <v>10</v>
      </c>
      <c r="B16" s="1277" t="s">
        <v>89</v>
      </c>
      <c r="C16" s="1275">
        <v>10</v>
      </c>
      <c r="D16" s="1279">
        <v>0</v>
      </c>
      <c r="E16" s="1280">
        <v>0</v>
      </c>
      <c r="F16" s="1280">
        <v>1</v>
      </c>
      <c r="G16" s="1280">
        <v>2</v>
      </c>
      <c r="H16" s="1280">
        <v>2</v>
      </c>
      <c r="I16" s="1280">
        <v>2</v>
      </c>
      <c r="J16" s="1280">
        <v>2</v>
      </c>
      <c r="K16" s="1280">
        <v>1</v>
      </c>
      <c r="L16" s="1280">
        <v>0</v>
      </c>
      <c r="M16" s="1278"/>
      <c r="N16" s="1280">
        <v>2</v>
      </c>
      <c r="O16" s="1280">
        <v>2</v>
      </c>
      <c r="P16" s="1280">
        <v>2</v>
      </c>
      <c r="Q16" s="1280">
        <v>2</v>
      </c>
      <c r="R16" s="1280">
        <v>1</v>
      </c>
      <c r="S16" s="1280">
        <v>1</v>
      </c>
      <c r="T16" s="1280">
        <v>2</v>
      </c>
      <c r="U16" s="1280">
        <v>2</v>
      </c>
      <c r="V16" s="1280">
        <v>0</v>
      </c>
      <c r="W16" s="1280">
        <v>0</v>
      </c>
      <c r="X16" s="1275">
        <v>10</v>
      </c>
      <c r="Y16" s="1281">
        <f t="shared" si="0"/>
        <v>24.1</v>
      </c>
      <c r="Z16" s="1282">
        <v>5</v>
      </c>
      <c r="AA16" s="658">
        <f t="shared" si="1"/>
        <v>10</v>
      </c>
      <c r="AB16" s="659">
        <f t="shared" si="2"/>
        <v>4</v>
      </c>
    </row>
    <row r="17" spans="1:28" s="35" customFormat="1" x14ac:dyDescent="0.2">
      <c r="A17" s="1276">
        <v>11</v>
      </c>
      <c r="B17" s="1277" t="s">
        <v>102</v>
      </c>
      <c r="C17" s="1275">
        <v>11</v>
      </c>
      <c r="D17" s="1279">
        <v>0</v>
      </c>
      <c r="E17" s="1280">
        <v>2</v>
      </c>
      <c r="F17" s="1280">
        <v>0</v>
      </c>
      <c r="G17" s="1280">
        <v>2</v>
      </c>
      <c r="H17" s="1280">
        <v>0</v>
      </c>
      <c r="I17" s="1280">
        <v>0</v>
      </c>
      <c r="J17" s="1280">
        <v>0</v>
      </c>
      <c r="K17" s="1280">
        <v>1</v>
      </c>
      <c r="L17" s="1280">
        <v>0</v>
      </c>
      <c r="M17" s="1280">
        <v>0</v>
      </c>
      <c r="N17" s="1278"/>
      <c r="O17" s="1280">
        <v>2</v>
      </c>
      <c r="P17" s="1280">
        <v>0</v>
      </c>
      <c r="Q17" s="1280">
        <v>2</v>
      </c>
      <c r="R17" s="1280">
        <v>0</v>
      </c>
      <c r="S17" s="1280">
        <v>2</v>
      </c>
      <c r="T17" s="1280">
        <v>2</v>
      </c>
      <c r="U17" s="1280">
        <v>2</v>
      </c>
      <c r="V17" s="1280">
        <v>0</v>
      </c>
      <c r="W17" s="1280">
        <v>1</v>
      </c>
      <c r="X17" s="1275">
        <v>11</v>
      </c>
      <c r="Y17" s="1281">
        <f t="shared" si="0"/>
        <v>16.07</v>
      </c>
      <c r="Z17" s="1282">
        <f t="shared" si="3"/>
        <v>15</v>
      </c>
      <c r="AA17" s="658">
        <f t="shared" si="1"/>
        <v>7</v>
      </c>
      <c r="AB17" s="659">
        <f t="shared" si="2"/>
        <v>2</v>
      </c>
    </row>
    <row r="18" spans="1:28" s="35" customFormat="1" x14ac:dyDescent="0.2">
      <c r="A18" s="1276">
        <v>12</v>
      </c>
      <c r="B18" s="1277" t="s">
        <v>101</v>
      </c>
      <c r="C18" s="1275">
        <v>12</v>
      </c>
      <c r="D18" s="1279">
        <v>2</v>
      </c>
      <c r="E18" s="1280">
        <v>0</v>
      </c>
      <c r="F18" s="1280">
        <v>2</v>
      </c>
      <c r="G18" s="1280">
        <v>2</v>
      </c>
      <c r="H18" s="1280">
        <v>0</v>
      </c>
      <c r="I18" s="1280">
        <v>2</v>
      </c>
      <c r="J18" s="1280">
        <v>0</v>
      </c>
      <c r="K18" s="1280">
        <v>1</v>
      </c>
      <c r="L18" s="1280">
        <v>0</v>
      </c>
      <c r="M18" s="1280">
        <v>0</v>
      </c>
      <c r="N18" s="1280">
        <v>0</v>
      </c>
      <c r="O18" s="1278"/>
      <c r="P18" s="1280">
        <v>2</v>
      </c>
      <c r="Q18" s="1280">
        <v>0</v>
      </c>
      <c r="R18" s="1280">
        <v>1</v>
      </c>
      <c r="S18" s="1280">
        <v>1</v>
      </c>
      <c r="T18" s="1280">
        <v>2</v>
      </c>
      <c r="U18" s="1280">
        <v>2</v>
      </c>
      <c r="V18" s="1280">
        <v>1</v>
      </c>
      <c r="W18" s="1280">
        <v>1</v>
      </c>
      <c r="X18" s="1275">
        <v>12</v>
      </c>
      <c r="Y18" s="1281">
        <f t="shared" si="0"/>
        <v>19.07</v>
      </c>
      <c r="Z18" s="1282">
        <f t="shared" si="3"/>
        <v>11</v>
      </c>
      <c r="AA18" s="658">
        <f t="shared" si="1"/>
        <v>7</v>
      </c>
      <c r="AB18" s="659">
        <f t="shared" si="2"/>
        <v>5</v>
      </c>
    </row>
    <row r="19" spans="1:28" s="35" customFormat="1" x14ac:dyDescent="0.2">
      <c r="A19" s="1276">
        <v>13</v>
      </c>
      <c r="B19" s="1277" t="s">
        <v>110</v>
      </c>
      <c r="C19" s="1275">
        <v>13</v>
      </c>
      <c r="D19" s="1279">
        <v>0</v>
      </c>
      <c r="E19" s="1280">
        <v>2</v>
      </c>
      <c r="F19" s="1280">
        <v>0</v>
      </c>
      <c r="G19" s="1280">
        <v>2</v>
      </c>
      <c r="H19" s="1280">
        <v>2</v>
      </c>
      <c r="I19" s="1280">
        <v>1</v>
      </c>
      <c r="J19" s="1280">
        <v>2</v>
      </c>
      <c r="K19" s="1280">
        <v>0</v>
      </c>
      <c r="L19" s="1280">
        <v>1</v>
      </c>
      <c r="M19" s="1280">
        <v>0</v>
      </c>
      <c r="N19" s="1280">
        <v>2</v>
      </c>
      <c r="O19" s="1280">
        <v>0</v>
      </c>
      <c r="P19" s="1278"/>
      <c r="Q19" s="1280">
        <v>2</v>
      </c>
      <c r="R19" s="1280">
        <v>0</v>
      </c>
      <c r="S19" s="1280">
        <v>0</v>
      </c>
      <c r="T19" s="1280">
        <v>2</v>
      </c>
      <c r="U19" s="1280">
        <v>0</v>
      </c>
      <c r="V19" s="1280">
        <v>1</v>
      </c>
      <c r="W19" s="1280">
        <v>2</v>
      </c>
      <c r="X19" s="1275">
        <v>13</v>
      </c>
      <c r="Y19" s="1281">
        <f t="shared" si="0"/>
        <v>19.079999999999998</v>
      </c>
      <c r="Z19" s="1282">
        <f t="shared" si="3"/>
        <v>10</v>
      </c>
      <c r="AA19" s="658">
        <f t="shared" si="1"/>
        <v>8</v>
      </c>
      <c r="AB19" s="659">
        <f t="shared" si="2"/>
        <v>3</v>
      </c>
    </row>
    <row r="20" spans="1:28" s="35" customFormat="1" x14ac:dyDescent="0.2">
      <c r="A20" s="1276">
        <v>14</v>
      </c>
      <c r="B20" s="1277" t="s">
        <v>111</v>
      </c>
      <c r="C20" s="1275">
        <v>14</v>
      </c>
      <c r="D20" s="1279">
        <v>0</v>
      </c>
      <c r="E20" s="1280">
        <v>0</v>
      </c>
      <c r="F20" s="1280">
        <v>2</v>
      </c>
      <c r="G20" s="1280">
        <v>2</v>
      </c>
      <c r="H20" s="1280">
        <v>0</v>
      </c>
      <c r="I20" s="1280">
        <v>2</v>
      </c>
      <c r="J20" s="1280">
        <v>0</v>
      </c>
      <c r="K20" s="1280">
        <v>0</v>
      </c>
      <c r="L20" s="1280">
        <v>0</v>
      </c>
      <c r="M20" s="1280">
        <v>0</v>
      </c>
      <c r="N20" s="1280">
        <v>0</v>
      </c>
      <c r="O20" s="1280">
        <v>2</v>
      </c>
      <c r="P20" s="1280">
        <v>0</v>
      </c>
      <c r="Q20" s="1278"/>
      <c r="R20" s="1280">
        <v>2</v>
      </c>
      <c r="S20" s="1280">
        <v>2</v>
      </c>
      <c r="T20" s="1280">
        <v>1</v>
      </c>
      <c r="U20" s="1280">
        <v>2</v>
      </c>
      <c r="V20" s="1280">
        <v>1</v>
      </c>
      <c r="W20" s="1280">
        <v>2</v>
      </c>
      <c r="X20" s="1275">
        <v>14</v>
      </c>
      <c r="Y20" s="1281">
        <f t="shared" si="0"/>
        <v>18.079999999999998</v>
      </c>
      <c r="Z20" s="1282">
        <v>13</v>
      </c>
      <c r="AA20" s="658">
        <f t="shared" si="1"/>
        <v>8</v>
      </c>
      <c r="AB20" s="659">
        <f t="shared" si="2"/>
        <v>2</v>
      </c>
    </row>
    <row r="21" spans="1:28" s="35" customFormat="1" x14ac:dyDescent="0.2">
      <c r="A21" s="1276">
        <v>15</v>
      </c>
      <c r="B21" s="1288" t="s">
        <v>91</v>
      </c>
      <c r="C21" s="1275">
        <v>15</v>
      </c>
      <c r="D21" s="1279">
        <v>1</v>
      </c>
      <c r="E21" s="1280">
        <v>2</v>
      </c>
      <c r="F21" s="1280">
        <v>2</v>
      </c>
      <c r="G21" s="1280">
        <v>0</v>
      </c>
      <c r="H21" s="1280">
        <v>2</v>
      </c>
      <c r="I21" s="1280">
        <v>2</v>
      </c>
      <c r="J21" s="1280">
        <v>2</v>
      </c>
      <c r="K21" s="1280">
        <v>1</v>
      </c>
      <c r="L21" s="1280">
        <v>1</v>
      </c>
      <c r="M21" s="1280">
        <v>1</v>
      </c>
      <c r="N21" s="1280">
        <v>2</v>
      </c>
      <c r="O21" s="1280">
        <v>1</v>
      </c>
      <c r="P21" s="1280">
        <v>2</v>
      </c>
      <c r="Q21" s="1280">
        <v>0</v>
      </c>
      <c r="R21" s="1278"/>
      <c r="S21" s="1280">
        <v>0</v>
      </c>
      <c r="T21" s="1280">
        <v>2</v>
      </c>
      <c r="U21" s="1280">
        <v>0</v>
      </c>
      <c r="V21" s="1280">
        <v>2</v>
      </c>
      <c r="W21" s="1280">
        <v>2</v>
      </c>
      <c r="X21" s="1275">
        <v>15</v>
      </c>
      <c r="Y21" s="1281">
        <f t="shared" si="0"/>
        <v>25.1</v>
      </c>
      <c r="Z21" s="1289">
        <f t="shared" si="3"/>
        <v>2</v>
      </c>
      <c r="AA21" s="658">
        <f t="shared" si="1"/>
        <v>10</v>
      </c>
      <c r="AB21" s="659">
        <f t="shared" si="2"/>
        <v>5</v>
      </c>
    </row>
    <row r="22" spans="1:28" s="35" customFormat="1" x14ac:dyDescent="0.2">
      <c r="A22" s="1276">
        <v>16</v>
      </c>
      <c r="B22" s="1277" t="s">
        <v>121</v>
      </c>
      <c r="C22" s="1275">
        <v>16</v>
      </c>
      <c r="D22" s="1279">
        <v>0</v>
      </c>
      <c r="E22" s="1280">
        <v>2</v>
      </c>
      <c r="F22" s="1280">
        <v>2</v>
      </c>
      <c r="G22" s="1280">
        <v>2</v>
      </c>
      <c r="H22" s="1280">
        <v>2</v>
      </c>
      <c r="I22" s="1280">
        <v>1</v>
      </c>
      <c r="J22" s="1280">
        <v>0</v>
      </c>
      <c r="K22" s="1280">
        <v>0</v>
      </c>
      <c r="L22" s="1280">
        <v>0</v>
      </c>
      <c r="M22" s="1280">
        <v>1</v>
      </c>
      <c r="N22" s="1280">
        <v>0</v>
      </c>
      <c r="O22" s="1280">
        <v>1</v>
      </c>
      <c r="P22" s="1280">
        <v>2</v>
      </c>
      <c r="Q22" s="1280">
        <v>0</v>
      </c>
      <c r="R22" s="1280">
        <v>2</v>
      </c>
      <c r="S22" s="1278"/>
      <c r="T22" s="1280">
        <v>2</v>
      </c>
      <c r="U22" s="1280">
        <v>2</v>
      </c>
      <c r="V22" s="1280">
        <v>0</v>
      </c>
      <c r="W22" s="1280">
        <v>1</v>
      </c>
      <c r="X22" s="1275">
        <v>16</v>
      </c>
      <c r="Y22" s="1281">
        <f t="shared" si="0"/>
        <v>20.079999999999998</v>
      </c>
      <c r="Z22" s="1282">
        <f t="shared" si="3"/>
        <v>8</v>
      </c>
      <c r="AA22" s="658">
        <f t="shared" si="1"/>
        <v>8</v>
      </c>
      <c r="AB22" s="659">
        <f t="shared" si="2"/>
        <v>4</v>
      </c>
    </row>
    <row r="23" spans="1:28" s="35" customFormat="1" x14ac:dyDescent="0.2">
      <c r="A23" s="1276">
        <v>17</v>
      </c>
      <c r="B23" s="1277" t="s">
        <v>109</v>
      </c>
      <c r="C23" s="1275">
        <v>17</v>
      </c>
      <c r="D23" s="1279">
        <v>0</v>
      </c>
      <c r="E23" s="1280">
        <v>2</v>
      </c>
      <c r="F23" s="1280">
        <v>0</v>
      </c>
      <c r="G23" s="1280">
        <v>1</v>
      </c>
      <c r="H23" s="1280">
        <v>2</v>
      </c>
      <c r="I23" s="1280">
        <v>0</v>
      </c>
      <c r="J23" s="1280">
        <v>2</v>
      </c>
      <c r="K23" s="1280">
        <v>2</v>
      </c>
      <c r="L23" s="1280">
        <v>2</v>
      </c>
      <c r="M23" s="1280">
        <v>0</v>
      </c>
      <c r="N23" s="1280">
        <v>0</v>
      </c>
      <c r="O23" s="1280">
        <v>0</v>
      </c>
      <c r="P23" s="1280">
        <v>0</v>
      </c>
      <c r="Q23" s="1280">
        <v>1</v>
      </c>
      <c r="R23" s="1280">
        <v>0</v>
      </c>
      <c r="S23" s="1280">
        <v>0</v>
      </c>
      <c r="T23" s="1278"/>
      <c r="U23" s="1279">
        <v>2</v>
      </c>
      <c r="V23" s="1279">
        <v>0</v>
      </c>
      <c r="W23" s="1279">
        <v>1</v>
      </c>
      <c r="X23" s="1275">
        <v>17</v>
      </c>
      <c r="Y23" s="1281">
        <f t="shared" si="0"/>
        <v>15.06</v>
      </c>
      <c r="Z23" s="1282">
        <f t="shared" si="3"/>
        <v>16</v>
      </c>
      <c r="AA23" s="658">
        <f t="shared" si="1"/>
        <v>6</v>
      </c>
      <c r="AB23" s="659">
        <f t="shared" si="2"/>
        <v>3</v>
      </c>
    </row>
    <row r="24" spans="1:28" s="35" customFormat="1" x14ac:dyDescent="0.2">
      <c r="A24" s="1276">
        <v>18</v>
      </c>
      <c r="B24" s="1277" t="s">
        <v>126</v>
      </c>
      <c r="C24" s="1275">
        <v>18</v>
      </c>
      <c r="D24" s="1279">
        <v>1</v>
      </c>
      <c r="E24" s="1280">
        <v>0</v>
      </c>
      <c r="F24" s="1280">
        <v>2</v>
      </c>
      <c r="G24" s="1280">
        <v>2</v>
      </c>
      <c r="H24" s="1280">
        <v>0</v>
      </c>
      <c r="I24" s="1280">
        <v>0</v>
      </c>
      <c r="J24" s="1280">
        <v>0</v>
      </c>
      <c r="K24" s="1280">
        <v>0</v>
      </c>
      <c r="L24" s="1280">
        <v>0</v>
      </c>
      <c r="M24" s="1280">
        <v>0</v>
      </c>
      <c r="N24" s="1280">
        <v>0</v>
      </c>
      <c r="O24" s="1280">
        <v>0</v>
      </c>
      <c r="P24" s="1280">
        <v>2</v>
      </c>
      <c r="Q24" s="1280">
        <v>0</v>
      </c>
      <c r="R24" s="1280">
        <v>2</v>
      </c>
      <c r="S24" s="1280">
        <v>0</v>
      </c>
      <c r="T24" s="1279">
        <v>0</v>
      </c>
      <c r="U24" s="1278"/>
      <c r="V24" s="1279">
        <v>1</v>
      </c>
      <c r="W24" s="1279">
        <v>0</v>
      </c>
      <c r="X24" s="1275">
        <v>18</v>
      </c>
      <c r="Y24" s="1281">
        <f t="shared" si="0"/>
        <v>10.039999999999999</v>
      </c>
      <c r="Z24" s="1282">
        <f t="shared" si="3"/>
        <v>20</v>
      </c>
      <c r="AA24" s="658">
        <f t="shared" si="1"/>
        <v>4</v>
      </c>
      <c r="AB24" s="659">
        <f t="shared" si="2"/>
        <v>2</v>
      </c>
    </row>
    <row r="25" spans="1:28" s="35" customFormat="1" x14ac:dyDescent="0.2">
      <c r="A25" s="1276">
        <v>19</v>
      </c>
      <c r="B25" s="1286" t="s">
        <v>94</v>
      </c>
      <c r="C25" s="1275">
        <v>19</v>
      </c>
      <c r="D25" s="1279">
        <v>2</v>
      </c>
      <c r="E25" s="1280">
        <v>2</v>
      </c>
      <c r="F25" s="1280">
        <v>2</v>
      </c>
      <c r="G25" s="1280">
        <v>2</v>
      </c>
      <c r="H25" s="1280">
        <v>2</v>
      </c>
      <c r="I25" s="1280">
        <v>2</v>
      </c>
      <c r="J25" s="1280">
        <v>2</v>
      </c>
      <c r="K25" s="1280">
        <v>1</v>
      </c>
      <c r="L25" s="1280">
        <v>2</v>
      </c>
      <c r="M25" s="1280">
        <v>2</v>
      </c>
      <c r="N25" s="1280">
        <v>2</v>
      </c>
      <c r="O25" s="1280">
        <v>1</v>
      </c>
      <c r="P25" s="1280">
        <v>1</v>
      </c>
      <c r="Q25" s="1280">
        <v>1</v>
      </c>
      <c r="R25" s="1280">
        <v>0</v>
      </c>
      <c r="S25" s="1280">
        <v>2</v>
      </c>
      <c r="T25" s="1279">
        <v>2</v>
      </c>
      <c r="U25" s="1279">
        <v>1</v>
      </c>
      <c r="V25" s="1278"/>
      <c r="W25" s="1279">
        <v>2</v>
      </c>
      <c r="X25" s="1275">
        <v>19</v>
      </c>
      <c r="Y25" s="1281">
        <f t="shared" ref="Y25" si="4">SUM(D25:W25)+COUNTIF(D25:W25,2)/100</f>
        <v>31.13</v>
      </c>
      <c r="Z25" s="1287">
        <f t="shared" si="3"/>
        <v>1</v>
      </c>
      <c r="AA25" s="658">
        <f t="shared" ref="AA25" si="5">COUNTIF(D25:W25,"=2")</f>
        <v>13</v>
      </c>
      <c r="AB25" s="659">
        <f t="shared" ref="AB25" si="6">COUNTIF(D25:W25,"=1")</f>
        <v>5</v>
      </c>
    </row>
    <row r="26" spans="1:28" s="35" customFormat="1" x14ac:dyDescent="0.2">
      <c r="A26" s="1276">
        <v>20</v>
      </c>
      <c r="B26" s="1277" t="s">
        <v>95</v>
      </c>
      <c r="C26" s="1275">
        <v>20</v>
      </c>
      <c r="D26" s="1279">
        <v>2</v>
      </c>
      <c r="E26" s="1280">
        <v>2</v>
      </c>
      <c r="F26" s="1280">
        <v>2</v>
      </c>
      <c r="G26" s="1280">
        <v>2</v>
      </c>
      <c r="H26" s="1280">
        <v>2</v>
      </c>
      <c r="I26" s="1280">
        <v>2</v>
      </c>
      <c r="J26" s="1280">
        <v>0</v>
      </c>
      <c r="K26" s="1280">
        <v>0</v>
      </c>
      <c r="L26" s="1280">
        <v>2</v>
      </c>
      <c r="M26" s="1280">
        <v>2</v>
      </c>
      <c r="N26" s="1280">
        <v>1</v>
      </c>
      <c r="O26" s="1280">
        <v>1</v>
      </c>
      <c r="P26" s="1280">
        <v>0</v>
      </c>
      <c r="Q26" s="1280">
        <v>0</v>
      </c>
      <c r="R26" s="1280">
        <v>0</v>
      </c>
      <c r="S26" s="1280">
        <v>1</v>
      </c>
      <c r="T26" s="1279">
        <v>1</v>
      </c>
      <c r="U26" s="1279">
        <v>2</v>
      </c>
      <c r="V26" s="1279">
        <v>0</v>
      </c>
      <c r="W26" s="1278"/>
      <c r="X26" s="1275">
        <v>19</v>
      </c>
      <c r="Y26" s="1281">
        <f t="shared" si="0"/>
        <v>22.09</v>
      </c>
      <c r="Z26" s="1282">
        <f>RANK(Y26,Y$7:Y$26,0)</f>
        <v>6</v>
      </c>
      <c r="AA26" s="658">
        <f t="shared" si="1"/>
        <v>9</v>
      </c>
      <c r="AB26" s="659">
        <f t="shared" si="2"/>
        <v>4</v>
      </c>
    </row>
    <row r="27" spans="1:28" s="35" customFormat="1" x14ac:dyDescent="0.2">
      <c r="A27" s="1290"/>
      <c r="B27" s="1275" t="s">
        <v>14</v>
      </c>
      <c r="C27" s="1275" t="s">
        <v>721</v>
      </c>
      <c r="D27" s="1275">
        <v>1</v>
      </c>
      <c r="E27" s="1275">
        <v>2</v>
      </c>
      <c r="F27" s="1275">
        <v>3</v>
      </c>
      <c r="G27" s="1275">
        <v>4</v>
      </c>
      <c r="H27" s="1275">
        <v>5</v>
      </c>
      <c r="I27" s="1275">
        <v>6</v>
      </c>
      <c r="J27" s="1275">
        <v>7</v>
      </c>
      <c r="K27" s="1275">
        <v>8</v>
      </c>
      <c r="L27" s="1275">
        <v>9</v>
      </c>
      <c r="M27" s="1275">
        <v>10</v>
      </c>
      <c r="N27" s="1275">
        <v>11</v>
      </c>
      <c r="O27" s="1275">
        <v>12</v>
      </c>
      <c r="P27" s="1275">
        <v>13</v>
      </c>
      <c r="Q27" s="1275">
        <v>14</v>
      </c>
      <c r="R27" s="1275">
        <v>15</v>
      </c>
      <c r="S27" s="1275">
        <v>16</v>
      </c>
      <c r="T27" s="1275">
        <v>17</v>
      </c>
      <c r="U27" s="1275">
        <v>18</v>
      </c>
      <c r="V27" s="1275">
        <v>19</v>
      </c>
      <c r="W27" s="1275">
        <v>20</v>
      </c>
      <c r="X27" s="1275" t="s">
        <v>721</v>
      </c>
      <c r="Y27" s="1275" t="s">
        <v>25</v>
      </c>
      <c r="Z27" s="1275" t="s">
        <v>26</v>
      </c>
    </row>
    <row r="28" spans="1:28" s="35" customFormat="1" x14ac:dyDescent="0.2">
      <c r="Y28" s="1291"/>
    </row>
    <row r="29" spans="1:28" s="35" customFormat="1" x14ac:dyDescent="0.2">
      <c r="A29" s="35" t="s">
        <v>722</v>
      </c>
      <c r="Y29" s="660"/>
    </row>
    <row r="30" spans="1:28" s="35" customFormat="1" x14ac:dyDescent="0.2">
      <c r="A30" s="35" t="s">
        <v>723</v>
      </c>
      <c r="Y30" s="660"/>
    </row>
    <row r="31" spans="1:28" x14ac:dyDescent="0.2">
      <c r="A31" s="35" t="s">
        <v>724</v>
      </c>
      <c r="Y31" s="660"/>
    </row>
    <row r="32" spans="1:28" x14ac:dyDescent="0.2">
      <c r="A32" s="35"/>
      <c r="Y32" s="660"/>
    </row>
    <row r="33" spans="1:25" x14ac:dyDescent="0.2">
      <c r="A33" s="1292">
        <v>1</v>
      </c>
      <c r="B33" s="1293" t="s">
        <v>94</v>
      </c>
      <c r="E33" s="1292">
        <v>11</v>
      </c>
      <c r="F33" s="1294" t="s">
        <v>101</v>
      </c>
      <c r="G33" s="1295"/>
      <c r="H33" s="1295"/>
      <c r="I33" s="1295"/>
      <c r="J33" s="1295"/>
      <c r="K33" s="1296"/>
      <c r="Y33" s="660"/>
    </row>
    <row r="34" spans="1:25" x14ac:dyDescent="0.2">
      <c r="A34" s="1292">
        <v>2</v>
      </c>
      <c r="B34" s="1288" t="s">
        <v>91</v>
      </c>
      <c r="E34" s="1292">
        <v>12</v>
      </c>
      <c r="F34" s="1294" t="s">
        <v>104</v>
      </c>
      <c r="G34" s="1295"/>
      <c r="H34" s="1295"/>
      <c r="I34" s="1295"/>
      <c r="J34" s="1295"/>
      <c r="K34" s="1296"/>
      <c r="Y34" s="660"/>
    </row>
    <row r="35" spans="1:25" x14ac:dyDescent="0.2">
      <c r="A35" s="1292">
        <v>3</v>
      </c>
      <c r="B35" s="1283" t="s">
        <v>97</v>
      </c>
      <c r="E35" s="1292">
        <v>13</v>
      </c>
      <c r="F35" s="1294" t="s">
        <v>111</v>
      </c>
      <c r="G35" s="1295"/>
      <c r="H35" s="1295"/>
      <c r="I35" s="1295"/>
      <c r="J35" s="1295"/>
      <c r="K35" s="1296"/>
      <c r="Y35" s="660"/>
    </row>
    <row r="36" spans="1:25" x14ac:dyDescent="0.2">
      <c r="A36" s="1292">
        <v>4</v>
      </c>
      <c r="B36" s="1277" t="s">
        <v>99</v>
      </c>
      <c r="E36" s="1292">
        <v>14</v>
      </c>
      <c r="F36" s="1294" t="s">
        <v>208</v>
      </c>
      <c r="G36" s="1295"/>
      <c r="H36" s="1295"/>
      <c r="I36" s="1295"/>
      <c r="J36" s="1295"/>
      <c r="K36" s="1296"/>
      <c r="Y36" s="660"/>
    </row>
    <row r="37" spans="1:25" x14ac:dyDescent="0.2">
      <c r="A37" s="1292">
        <v>5</v>
      </c>
      <c r="B37" s="1277" t="s">
        <v>89</v>
      </c>
      <c r="E37" s="1292">
        <v>15</v>
      </c>
      <c r="F37" s="1277" t="s">
        <v>102</v>
      </c>
      <c r="G37" s="1295"/>
      <c r="H37" s="1295"/>
      <c r="I37" s="1295"/>
      <c r="J37" s="1295"/>
      <c r="K37" s="1296"/>
      <c r="Y37" s="660"/>
    </row>
    <row r="38" spans="1:25" x14ac:dyDescent="0.2">
      <c r="A38" s="1292">
        <v>6</v>
      </c>
      <c r="B38" s="1277" t="s">
        <v>95</v>
      </c>
      <c r="E38" s="1292">
        <v>16</v>
      </c>
      <c r="F38" s="1277" t="s">
        <v>109</v>
      </c>
      <c r="G38" s="1295"/>
      <c r="H38" s="1295"/>
      <c r="I38" s="1295"/>
      <c r="J38" s="1295"/>
      <c r="K38" s="1296"/>
      <c r="Y38" s="1297"/>
    </row>
    <row r="39" spans="1:25" x14ac:dyDescent="0.2">
      <c r="A39" s="1292">
        <v>7</v>
      </c>
      <c r="B39" s="1277" t="s">
        <v>93</v>
      </c>
      <c r="E39" s="1292">
        <v>17</v>
      </c>
      <c r="F39" s="1277" t="s">
        <v>209</v>
      </c>
      <c r="G39" s="1295"/>
      <c r="H39" s="1295"/>
      <c r="I39" s="1295"/>
      <c r="J39" s="1295"/>
      <c r="K39" s="1296"/>
      <c r="Y39" s="1297"/>
    </row>
    <row r="40" spans="1:25" x14ac:dyDescent="0.2">
      <c r="A40" s="1292">
        <v>8</v>
      </c>
      <c r="B40" s="1277" t="s">
        <v>121</v>
      </c>
      <c r="E40" s="1292">
        <v>18</v>
      </c>
      <c r="F40" s="1277" t="s">
        <v>117</v>
      </c>
      <c r="G40" s="1295"/>
      <c r="H40" s="1295"/>
      <c r="I40" s="1295"/>
      <c r="J40" s="1295"/>
      <c r="K40" s="1296"/>
    </row>
    <row r="41" spans="1:25" x14ac:dyDescent="0.2">
      <c r="A41" s="1292">
        <v>9</v>
      </c>
      <c r="B41" s="1277" t="s">
        <v>88</v>
      </c>
      <c r="E41" s="1292">
        <v>19</v>
      </c>
      <c r="F41" s="1277" t="s">
        <v>124</v>
      </c>
      <c r="G41" s="1295"/>
      <c r="H41" s="1295"/>
      <c r="I41" s="1295"/>
      <c r="J41" s="1295"/>
      <c r="K41" s="1296"/>
    </row>
    <row r="42" spans="1:25" x14ac:dyDescent="0.2">
      <c r="A42" s="1292">
        <v>10</v>
      </c>
      <c r="B42" s="1277" t="s">
        <v>110</v>
      </c>
      <c r="E42" s="1292">
        <v>20</v>
      </c>
      <c r="F42" s="1277" t="s">
        <v>126</v>
      </c>
      <c r="G42" s="1295"/>
      <c r="H42" s="1295"/>
      <c r="I42" s="1295"/>
      <c r="J42" s="1295"/>
      <c r="K42" s="1296"/>
    </row>
  </sheetData>
  <conditionalFormatting sqref="D7:W26">
    <cfRule type="cellIs" dxfId="986" priority="4" stopIfTrue="1" operator="greaterThan">
      <formula>2</formula>
    </cfRule>
  </conditionalFormatting>
  <conditionalFormatting sqref="B9">
    <cfRule type="duplicateValues" dxfId="985" priority="3" stopIfTrue="1"/>
  </conditionalFormatting>
  <conditionalFormatting sqref="Y7:Y26">
    <cfRule type="duplicateValues" dxfId="984" priority="5" stopIfTrue="1"/>
  </conditionalFormatting>
  <conditionalFormatting sqref="B35">
    <cfRule type="duplicateValues" dxfId="983" priority="2" stopIfTrue="1"/>
  </conditionalFormatting>
  <conditionalFormatting sqref="AA7:AA26">
    <cfRule type="top10" dxfId="982" priority="1" rank="1"/>
  </conditionalFormatting>
  <pageMargins left="0.78740157480314965" right="0.39370078740157483" top="0.78740157480314965" bottom="0.39370078740157483" header="0.59055118110236227" footer="0"/>
  <pageSetup paperSize="9" fitToHeight="0" orientation="landscape" r:id="rId1"/>
  <headerFooter>
    <oddHeader>&amp;R&amp;"Arial,Regular"&amp;9Page &amp;P of &amp;N</oddHeader>
  </headerFooter>
  <rowBreaks count="1" manualBreakCount="1">
    <brk id="42" max="26"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CC00"/>
    <pageSetUpPr fitToPage="1"/>
  </sheetPr>
  <dimension ref="A1:AL72"/>
  <sheetViews>
    <sheetView showGridLines="0" showRowColHeaders="0" zoomScaleNormal="100" workbookViewId="0">
      <pane ySplit="6" topLeftCell="A7" activePane="bottomLeft" state="frozen"/>
      <selection activeCell="F228" sqref="F228"/>
      <selection pane="bottomLeft" activeCell="Y1" sqref="Y1"/>
    </sheetView>
  </sheetViews>
  <sheetFormatPr defaultRowHeight="12.75" x14ac:dyDescent="0.2"/>
  <cols>
    <col min="1" max="1" width="2.7109375" style="190" customWidth="1"/>
    <col min="2" max="2" width="8" style="190" hidden="1" customWidth="1"/>
    <col min="3" max="4" width="2.7109375" style="190" customWidth="1"/>
    <col min="5" max="5" width="8" style="190" hidden="1" customWidth="1"/>
    <col min="6" max="6" width="2" style="190" customWidth="1"/>
    <col min="7" max="7" width="8" style="190" hidden="1" customWidth="1"/>
    <col min="8" max="8" width="3.7109375" style="190" customWidth="1"/>
    <col min="9" max="9" width="18.140625" style="192" customWidth="1"/>
    <col min="10" max="10" width="2.28515625" style="222" hidden="1" customWidth="1"/>
    <col min="11" max="12" width="1.85546875" style="222" hidden="1" customWidth="1"/>
    <col min="13" max="13" width="2.28515625" style="222" hidden="1" customWidth="1"/>
    <col min="14" max="14" width="4.7109375" style="222" customWidth="1"/>
    <col min="15" max="15" width="25.85546875" style="222" hidden="1" customWidth="1"/>
    <col min="16" max="16" width="31.140625" style="222" hidden="1" customWidth="1"/>
    <col min="17" max="17" width="9" style="222" hidden="1" customWidth="1"/>
    <col min="18" max="18" width="7.5703125" style="222" hidden="1" customWidth="1"/>
    <col min="19" max="19" width="34.85546875" style="222" hidden="1" customWidth="1"/>
    <col min="20" max="20" width="11.28515625" style="222" hidden="1" customWidth="1"/>
    <col min="21" max="21" width="5.42578125" style="222" hidden="1" customWidth="1"/>
    <col min="22" max="22" width="2.85546875" style="190" customWidth="1"/>
    <col min="23" max="24" width="4.7109375" style="190" customWidth="1"/>
    <col min="25" max="25" width="2.85546875" style="190" customWidth="1"/>
    <col min="26" max="27" width="4.7109375" style="190" customWidth="1"/>
    <col min="28" max="28" width="3.7109375" style="190" customWidth="1"/>
    <col min="29" max="29" width="4.7109375" style="190" customWidth="1"/>
    <col min="30" max="30" width="3.7109375" style="190" customWidth="1"/>
    <col min="31" max="31" width="3.85546875" style="190" customWidth="1"/>
    <col min="32" max="32" width="8" style="190" hidden="1" customWidth="1"/>
    <col min="33" max="33" width="4.85546875" style="190" hidden="1" customWidth="1"/>
    <col min="34" max="34" width="7.5703125" style="190" customWidth="1"/>
    <col min="35" max="35" width="5.140625" style="190" customWidth="1"/>
    <col min="36" max="36" width="3.28515625" style="192" bestFit="1" customWidth="1"/>
    <col min="37" max="38" width="3.28515625" style="192" customWidth="1"/>
    <col min="39" max="16384" width="9.140625" style="192"/>
  </cols>
  <sheetData>
    <row r="1" spans="1:38" x14ac:dyDescent="0.2">
      <c r="A1" s="220"/>
      <c r="B1" s="220"/>
      <c r="E1" s="220"/>
      <c r="F1" s="191" t="s">
        <v>287</v>
      </c>
      <c r="G1" s="220"/>
      <c r="J1" s="243"/>
      <c r="K1" s="243"/>
      <c r="L1" s="243"/>
      <c r="M1" s="243"/>
      <c r="N1" s="245"/>
      <c r="O1" s="243"/>
      <c r="P1" s="169" t="s">
        <v>180</v>
      </c>
      <c r="Q1" s="217"/>
      <c r="R1" s="243"/>
      <c r="S1" s="243"/>
      <c r="T1" s="243"/>
      <c r="U1" s="243"/>
      <c r="V1" s="242"/>
      <c r="W1" s="242"/>
      <c r="X1" s="242"/>
      <c r="Y1" s="242"/>
      <c r="Z1" s="242"/>
      <c r="AA1" s="242"/>
      <c r="AB1" s="242"/>
      <c r="AC1" s="242"/>
      <c r="AD1" s="192"/>
      <c r="AE1" s="192"/>
      <c r="AF1" s="196"/>
      <c r="AG1" s="244"/>
      <c r="AH1" s="192"/>
      <c r="AJ1" s="193" t="s">
        <v>75</v>
      </c>
      <c r="AK1" s="193"/>
      <c r="AL1" s="194"/>
    </row>
    <row r="2" spans="1:38" x14ac:dyDescent="0.2">
      <c r="F2" s="195" t="s">
        <v>202</v>
      </c>
      <c r="J2" s="242"/>
      <c r="K2" s="242"/>
      <c r="L2" s="245"/>
      <c r="M2" s="242"/>
      <c r="N2" s="242"/>
      <c r="O2" s="242"/>
      <c r="P2" s="242"/>
      <c r="Q2" s="242"/>
      <c r="R2" s="242"/>
      <c r="S2" s="242"/>
      <c r="T2" s="242"/>
      <c r="U2" s="242"/>
      <c r="V2" s="242"/>
      <c r="W2" s="242"/>
      <c r="X2" s="242"/>
      <c r="Y2" s="242"/>
      <c r="Z2" s="242"/>
      <c r="AA2" s="242"/>
      <c r="AB2" s="242"/>
      <c r="AC2" s="245"/>
      <c r="AD2" s="245"/>
      <c r="AE2" s="245"/>
      <c r="AF2" s="242"/>
      <c r="AG2" s="242"/>
      <c r="AH2" s="28" t="str">
        <f>HYPERLINK("#'Voka juhend'!b1","Juhend")</f>
        <v>Juhend</v>
      </c>
      <c r="AJ2" s="196" t="s">
        <v>76</v>
      </c>
      <c r="AK2" s="196"/>
    </row>
    <row r="3" spans="1:38" x14ac:dyDescent="0.2">
      <c r="F3" s="195" t="s">
        <v>203</v>
      </c>
      <c r="J3" s="242"/>
      <c r="K3" s="242"/>
      <c r="L3" s="245"/>
      <c r="M3" s="242"/>
      <c r="N3" s="242"/>
      <c r="O3" s="242"/>
      <c r="P3" s="242"/>
      <c r="Q3" s="242"/>
      <c r="R3" s="242"/>
      <c r="S3" s="242"/>
      <c r="T3" s="242"/>
      <c r="U3" s="242"/>
      <c r="V3" s="242"/>
      <c r="W3" s="242"/>
      <c r="X3" s="242"/>
      <c r="Y3" s="242"/>
      <c r="Z3" s="242"/>
      <c r="AA3" s="242"/>
      <c r="AB3" s="242"/>
      <c r="AC3" s="242"/>
      <c r="AD3" s="242"/>
      <c r="AE3" s="242"/>
      <c r="AF3" s="242"/>
      <c r="AG3" s="242"/>
      <c r="AH3" s="242"/>
      <c r="AJ3" s="197" t="s">
        <v>77</v>
      </c>
      <c r="AK3" s="197"/>
    </row>
    <row r="4" spans="1:38" ht="30" customHeight="1" x14ac:dyDescent="0.2">
      <c r="A4" s="1020" t="s">
        <v>675</v>
      </c>
      <c r="B4" s="947"/>
      <c r="C4" s="946" t="s">
        <v>674</v>
      </c>
      <c r="D4" s="935"/>
      <c r="E4" s="947"/>
      <c r="F4" s="935"/>
      <c r="G4" s="947"/>
      <c r="H4" s="199"/>
      <c r="I4" s="198" t="s">
        <v>173</v>
      </c>
      <c r="J4" s="246"/>
      <c r="K4" s="1383"/>
      <c r="L4" s="1385"/>
      <c r="M4" s="199"/>
      <c r="N4" s="246"/>
      <c r="O4" s="247" t="s">
        <v>251</v>
      </c>
      <c r="P4" s="247"/>
      <c r="Q4" s="248" t="s">
        <v>252</v>
      </c>
      <c r="R4" s="249" t="s">
        <v>253</v>
      </c>
      <c r="S4" s="249" t="s">
        <v>254</v>
      </c>
      <c r="T4" s="249"/>
      <c r="U4" s="250" t="s">
        <v>255</v>
      </c>
      <c r="V4" s="200" t="str">
        <f>MID(Kalend!$A9,4,5)</f>
        <v>09.05</v>
      </c>
      <c r="W4" s="200" t="str">
        <f>MID(Kalend!$A12,4,5)</f>
        <v>23.05</v>
      </c>
      <c r="X4" s="200" t="str">
        <f>MID(Kalend!$A17,4,5)</f>
        <v>06.06</v>
      </c>
      <c r="Y4" s="200" t="str">
        <f>MID(Kalend!$A22,4,5)</f>
        <v>27.06</v>
      </c>
      <c r="Z4" s="200" t="str">
        <f>MID(Kalend!$A27,4,5)</f>
        <v>04.07</v>
      </c>
      <c r="AA4" s="200" t="str">
        <f>MID(Kalend!$A30,4,5)</f>
        <v>25.07</v>
      </c>
      <c r="AB4" s="200" t="str">
        <f>MID(Kalend!$A33,4,5)</f>
        <v>01.08</v>
      </c>
      <c r="AC4" s="200" t="str">
        <f>MID(Kalend!$A37,4,5)</f>
        <v>15.08</v>
      </c>
      <c r="AD4" s="200" t="str">
        <f>MID(Kalend!$A41,4,5)</f>
        <v>02.09</v>
      </c>
      <c r="AE4" s="200" t="str">
        <f>MID(Kalend!$A42,4,5)</f>
        <v>15.09</v>
      </c>
      <c r="AF4" s="272"/>
      <c r="AG4" s="271"/>
      <c r="AH4" s="251"/>
      <c r="AI4" s="201" t="str">
        <f>MID(Kalend!$A46,4,5)</f>
        <v>23.09</v>
      </c>
      <c r="AJ4" s="1408" t="s">
        <v>78</v>
      </c>
      <c r="AK4" s="1408" t="s">
        <v>79</v>
      </c>
      <c r="AL4" s="1409" t="s">
        <v>12</v>
      </c>
    </row>
    <row r="5" spans="1:38" ht="12.75" customHeight="1" x14ac:dyDescent="0.2">
      <c r="A5" s="252"/>
      <c r="B5" s="203"/>
      <c r="C5" s="936"/>
      <c r="D5" s="936"/>
      <c r="E5" s="203"/>
      <c r="F5" s="936"/>
      <c r="G5" s="203"/>
      <c r="H5" s="1021" t="s">
        <v>80</v>
      </c>
      <c r="I5" s="198"/>
      <c r="J5" s="147" t="s">
        <v>83</v>
      </c>
      <c r="K5" s="1384" t="s">
        <v>84</v>
      </c>
      <c r="L5" s="1386" t="s">
        <v>757</v>
      </c>
      <c r="M5" s="273" t="s">
        <v>13</v>
      </c>
      <c r="N5" s="942" t="s">
        <v>81</v>
      </c>
      <c r="O5" s="275" t="s">
        <v>288</v>
      </c>
      <c r="P5" s="253"/>
      <c r="Q5" s="254" t="s">
        <v>256</v>
      </c>
      <c r="R5" s="255"/>
      <c r="S5" s="255"/>
      <c r="T5" s="255"/>
      <c r="U5" s="256" t="s">
        <v>257</v>
      </c>
      <c r="V5" s="257" t="s">
        <v>86</v>
      </c>
      <c r="W5" s="257" t="s">
        <v>86</v>
      </c>
      <c r="X5" s="257" t="s">
        <v>86</v>
      </c>
      <c r="Y5" s="257" t="s">
        <v>86</v>
      </c>
      <c r="Z5" s="257" t="s">
        <v>86</v>
      </c>
      <c r="AA5" s="257" t="s">
        <v>86</v>
      </c>
      <c r="AB5" s="257" t="s">
        <v>86</v>
      </c>
      <c r="AC5" s="257" t="s">
        <v>86</v>
      </c>
      <c r="AD5" s="257" t="s">
        <v>86</v>
      </c>
      <c r="AE5" s="257" t="s">
        <v>86</v>
      </c>
      <c r="AF5" s="258"/>
      <c r="AG5" s="205"/>
      <c r="AH5" s="259" t="s">
        <v>204</v>
      </c>
      <c r="AI5" s="257"/>
      <c r="AJ5" s="1408"/>
      <c r="AK5" s="1408"/>
      <c r="AL5" s="1409"/>
    </row>
    <row r="6" spans="1:38" x14ac:dyDescent="0.2">
      <c r="A6" s="260" t="s">
        <v>673</v>
      </c>
      <c r="B6" s="261" t="s">
        <v>716</v>
      </c>
      <c r="C6" s="948" t="s">
        <v>674</v>
      </c>
      <c r="D6" s="1022" t="s">
        <v>83</v>
      </c>
      <c r="E6" s="1027" t="s">
        <v>83</v>
      </c>
      <c r="F6" s="1023" t="s">
        <v>84</v>
      </c>
      <c r="G6" s="1024" t="s">
        <v>84</v>
      </c>
      <c r="H6" s="206" t="s">
        <v>82</v>
      </c>
      <c r="I6" s="207" t="s">
        <v>14</v>
      </c>
      <c r="J6" s="147"/>
      <c r="K6" s="1384"/>
      <c r="L6" s="1387"/>
      <c r="M6" s="273"/>
      <c r="N6" s="204" t="s">
        <v>13</v>
      </c>
      <c r="O6" s="262" t="s">
        <v>188</v>
      </c>
      <c r="P6" s="262" t="s">
        <v>168</v>
      </c>
      <c r="Q6" s="262" t="s">
        <v>258</v>
      </c>
      <c r="R6" s="263" t="s">
        <v>259</v>
      </c>
      <c r="S6" s="262" t="s">
        <v>171</v>
      </c>
      <c r="T6" s="262" t="s">
        <v>260</v>
      </c>
      <c r="U6" s="159" t="s">
        <v>261</v>
      </c>
      <c r="V6" s="205" t="str">
        <f>HYPERLINK("#V1!K1","V1")</f>
        <v>V1</v>
      </c>
      <c r="W6" s="205" t="str">
        <f>HYPERLINK("#V2!H1","V2")</f>
        <v>V2</v>
      </c>
      <c r="X6" s="205" t="str">
        <f>HYPERLINK("#V3!K1","V3")</f>
        <v>V3</v>
      </c>
      <c r="Y6" s="205" t="str">
        <f>HYPERLINK("#V4!J1","V4")</f>
        <v>V4</v>
      </c>
      <c r="Z6" s="205" t="str">
        <f>HYPERLINK("#V5!L1","V5")</f>
        <v>V5</v>
      </c>
      <c r="AA6" s="205" t="str">
        <f>HYPERLINK("#V6!J1","V6")</f>
        <v>V6</v>
      </c>
      <c r="AB6" s="205" t="str">
        <f>HYPERLINK("#V7!K1","V7")</f>
        <v>V7</v>
      </c>
      <c r="AC6" s="205" t="str">
        <f>HYPERLINK("#V8!J1","V8")</f>
        <v>V8</v>
      </c>
      <c r="AD6" s="205" t="str">
        <f>HYPERLINK("#V9!L1","V9")</f>
        <v>V9</v>
      </c>
      <c r="AE6" s="205" t="str">
        <f>HYPERLINK("#V10!I1","V10")</f>
        <v>V10</v>
      </c>
      <c r="AF6" s="264"/>
      <c r="AG6" s="257"/>
      <c r="AH6" s="265" t="s">
        <v>205</v>
      </c>
      <c r="AI6" s="205" t="str">
        <f>HYPERLINK("#'V-Fin'!J1","V-Fin")</f>
        <v>V-Fin</v>
      </c>
      <c r="AJ6" s="202"/>
      <c r="AK6" s="202"/>
      <c r="AL6" s="208"/>
    </row>
    <row r="7" spans="1:38" x14ac:dyDescent="0.2">
      <c r="A7" s="1026" t="str">
        <f>IF(M7="k",RANK(B7,B$7:B$66,0),"")</f>
        <v/>
      </c>
      <c r="B7" s="266">
        <f t="shared" ref="B7:B38" si="0">IF((M7="k"),N7+10000,0)</f>
        <v>0</v>
      </c>
      <c r="C7" s="944"/>
      <c r="D7" s="1029" t="str">
        <f>IF(J7="n",RANK(E7,E$7:E$66,0),"")</f>
        <v/>
      </c>
      <c r="E7" s="1028">
        <f>IF((J7="n"),N7+10000,0)</f>
        <v>0</v>
      </c>
      <c r="F7" s="1025" t="str">
        <f>IF(K7="j",RANK(G7,G$7:G$66,0),"")</f>
        <v/>
      </c>
      <c r="G7" s="266">
        <f>IF((K7="j"),N7+10000,0)</f>
        <v>0</v>
      </c>
      <c r="H7" s="209">
        <f>IF(N7&gt;0,RANK(Q7,Q$7:Q$66,1),"")</f>
        <v>1</v>
      </c>
      <c r="I7" s="937" t="s">
        <v>93</v>
      </c>
      <c r="J7" s="269"/>
      <c r="K7" s="270"/>
      <c r="L7" s="1381"/>
      <c r="M7" s="274"/>
      <c r="N7" s="1019">
        <f t="shared" ref="N7:N38" si="1">SUM(V7:AE7)</f>
        <v>98</v>
      </c>
      <c r="O7" s="268" t="str">
        <f>INDEX(ETAPP!B$1:B$32,MATCH(COUNTIF(V7:AE7,PVO!A$1),ETAPP!A$1:A$32,0))&amp;INDEX(ETAPP!B$1:B$32,MATCH(COUNTIF(V7:AE7,PVO!A$2),ETAPP!A$1:A$32,0))&amp;INDEX(ETAPP!B$1:B$32,MATCH(COUNTIF(V7:AE7,PVO!A$3),ETAPP!A$1:A$32,0))&amp;INDEX(ETAPP!B$1:B$32,MATCH(COUNTIF(V7:AE7,PVO!A$4),ETAPP!A$1:A$32,0))&amp;INDEX(ETAPP!B$1:B$32,MATCH(COUNTIF(V7:AE7,PVO!A$5),ETAPP!A$1:A$32,0))&amp;INDEX(ETAPP!B$1:B$32,MATCH(COUNTIF(V7:AE7,PVO!A$6),ETAPP!A$1:A$32,0))&amp;INDEX(ETAPP!B$1:B$32,MATCH(COUNTIF(V7:AE7,PVO!A$7),ETAPP!A$1:A$32,0))&amp;INDEX(ETAPP!B$1:B$32,MATCH(COUNTIF(V7:AE7,PVO!A$8),ETAPP!A$1:A$32,0))&amp;INDEX(ETAPP!B$1:B$32,MATCH(COUNTIF(V7:AE7,PVO!A$9),ETAPP!A$1:A$32,0))&amp;INDEX(ETAPP!B$1:B$32,MATCH(COUNTIF(V7:AE7,PVO!A$10),ETAPP!A$1:A$32,0))&amp;INDEX(ETAPP!B$1:B$32,MATCH(COUNTIF(V7:AE7,PVO!A$11),ETAPP!A$1:A$32,0))&amp;INDEX(ETAPP!B$1:B$32,MATCH(COUNTIF(V7:AE7,PVO!A$12),ETAPP!A$1:A$32,0))&amp;INDEX(ETAPP!B$1:B$32,MATCH(COUNTIF(V7:AE7,PVO!A$13),ETAPP!A$1:A$32,0))&amp;INDEX(ETAPP!B$1:B$32,MATCH(COUNTIF(V7:AE7,PVO!A$14),ETAPP!A$1:A$32,0))&amp;INDEX(ETAPP!B$1:B$32,MATCH(COUNTIF(V7:AE7,PVO!A$15),ETAPP!A$1:A$32,0))&amp;INDEX(ETAPP!B$1:B$32,MATCH(COUNTIF(V7:AE7,PVO!A$16),ETAPP!A$1:A$32,0))&amp;INDEX(ETAPP!B$1:B$32,MATCH(COUNTIF(V7:AE7,PVO!A$17),ETAPP!A$1:A$32,0))&amp;INDEX(ETAPP!B$1:B$32,MATCH(COUNTIF(V7:AE7,PVO!A$18),ETAPP!A$1:A$32,0))&amp;INDEX(ETAPP!B$1:B$32,MATCH(COUNTIF(V7:AE7,PVO!A$19),ETAPP!A$1:A$32,0))&amp;INDEX(ETAPP!B$1:B$32,MATCH(COUNTIF(V7:AE7,PVO!A$20),ETAPP!A$1:A$32,0))&amp;INDEX(ETAPP!B$1:B$32,MATCH(COUNTIF(V7:AE7,PVO!A$21),ETAPP!A$1:A$32,0))&amp;INDEX(ETAPP!B$1:B$32,MATCH(COUNTIF(V7:AE7,PVO!A$22),ETAPP!A$1:A$32,0))</f>
        <v>00000AA0AAB00AA0000000</v>
      </c>
      <c r="P7" s="268" t="str">
        <f t="shared" ref="P7:P38" si="2">TEXT(N7,"000,0")&amp;"-"&amp;O7</f>
        <v>098,0-00000AA0AAB00AA0000000</v>
      </c>
      <c r="Q7" s="268">
        <f>COUNTIF(P$7:P$66,"&gt;="&amp;P7)</f>
        <v>1</v>
      </c>
      <c r="R7" s="268">
        <f>COUNTIF(I$7:I$66,"&gt;="&amp;I7)</f>
        <v>41</v>
      </c>
      <c r="S7" s="268" t="str">
        <f t="shared" ref="S7:S38" si="3">TEXT(N7,"000,0")&amp;"-"&amp;O7&amp;"-"&amp;TEXT(R7,"000")</f>
        <v>098,0-00000AA0AAB00AA0000000-041</v>
      </c>
      <c r="T7" s="268">
        <f>COUNTIF(S$7:S$66,"&gt;="&amp;S7)</f>
        <v>1</v>
      </c>
      <c r="U7" s="832">
        <f>RANK(T7,T$7:T$66,0)</f>
        <v>60</v>
      </c>
      <c r="V7" s="210">
        <f>IFERROR(INDEX('V1'!C$300:C$400,MATCH("*"&amp;I7&amp;"*",'V1'!B$300:B$400,0)),"  ")</f>
        <v>10</v>
      </c>
      <c r="W7" s="210">
        <f>IFERROR(INDEX('V2'!C$300:C$400,MATCH("*"&amp;I7&amp;"*",'V2'!B$300:B$400,0)),"  ")</f>
        <v>7.5</v>
      </c>
      <c r="X7" s="210">
        <f>IFERROR(INDEX('V3'!C$300:C$400,MATCH("*"&amp;I7&amp;"*",'V3'!B$300:B$400,0)),"  ")</f>
        <v>15</v>
      </c>
      <c r="Y7" s="210">
        <f>IFERROR(INDEX('V4'!C$300:C$400,MATCH("*"&amp;I7&amp;"*",'V4'!B$300:B$400,0)),"  ")</f>
        <v>10</v>
      </c>
      <c r="Z7" s="210">
        <f>IFERROR(INDEX('V5'!C$300:C$400,MATCH("*"&amp;I7&amp;"*",'V5'!B$300:B$400,0)),"  ")</f>
        <v>14</v>
      </c>
      <c r="AA7" s="210">
        <f>IFERROR(INDEX('V6'!C$300:C$400,MATCH("*"&amp;I7&amp;"*",'V6'!B$300:B$400,0)),"  ")</f>
        <v>11</v>
      </c>
      <c r="AB7" s="210">
        <f>IFERROR(INDEX('V7'!C$300:C$400,MATCH("*"&amp;I7&amp;"*",'V7'!B$300:B$400,0)),"  ")</f>
        <v>6</v>
      </c>
      <c r="AC7" s="210">
        <f>IFERROR(INDEX('V8'!C$300:C$400,MATCH("*"&amp;I7&amp;"*",'V8'!B$300:B$400,0)),"  ")</f>
        <v>12</v>
      </c>
      <c r="AD7" s="210">
        <f>IFERROR(INDEX('V9'!C$300:C$400,MATCH("*"&amp;I7&amp;"*",'V9'!B$300:B$400,0)),"  ")</f>
        <v>5.5</v>
      </c>
      <c r="AE7" s="210">
        <f>IFERROR(INDEX('V10'!C$300:C$400,MATCH("*"&amp;I7&amp;"*",'V10'!B$300:B$400,0)),"  ")</f>
        <v>7</v>
      </c>
      <c r="AF7" s="211">
        <f t="shared" ref="AF7:AF38" si="4">IF(COUNTIF(V7:AE7,"&gt;0")&gt;=3,1,0)</f>
        <v>1</v>
      </c>
      <c r="AG7" s="211">
        <f>IF(AF7=1,U7,"")</f>
        <v>60</v>
      </c>
      <c r="AH7" s="1362" t="str">
        <f>IFERROR(IF(COUNTIF(V7:AE7,"&gt;0")&gt;=3,"edasi ","puudu "&amp;3-COUNT(V7:AE7))&amp;IF(OR(COUNTIF(V7:AE7,"&gt;0")&lt;3,COUNTIF(AE$7:AE$66,"&gt;0")=0),"",RANK(AG7,AG$7:AG$66,0)),"")</f>
        <v>edasi 1</v>
      </c>
      <c r="AI7" s="959">
        <f>IFERROR(INDEX('V-Fin'!A$300:A$325,MATCH(I7,'V-Fin'!B$300:B$325,0)),"")</f>
        <v>7</v>
      </c>
      <c r="AJ7" s="214">
        <f t="shared" ref="AJ7:AJ38" si="5">COUNTIF(V7:AE7,"&gt;=0")</f>
        <v>10</v>
      </c>
      <c r="AK7" s="212">
        <f>IFERROR(IF(V7+1&gt;LARGE(V$7:V$66,1)-2,1),0)+IFERROR(IF(W7+1&gt;LARGE(W$7:W$66,1)-2,1),0)+IFERROR(IF(X7+1&gt;LARGE(X$7:X$66,1)-2,1),0)+IFERROR(IF(Y7+1&gt;LARGE(Y$7:Y$66,1)-2,1),0)+IFERROR(IF(Z7+1&gt;LARGE(Z$7:Z$66,1)-2,1),0)+IFERROR(IF(AA7+1&gt;LARGE(AA$7:AA$66,1)-2,1),0)+IFERROR(IF(AB7+1&gt;LARGE(AB$7:AB$66,1)-2,1),0)+IFERROR(IF(AC7+1&gt;LARGE(AC$7:AC$66,1)-2,1),0)+IFERROR(IF(AD7+1&gt;LARGE(AD$7:AD$66,1)-2,1),0)+IFERROR(IF(AE7+1&gt;LARGE(AE$7:AE$66,1)-2,1),0)</f>
        <v>4</v>
      </c>
      <c r="AL7" s="212">
        <f>IF(V7=0,0,IF(V7=IFERROR(LARGE(V$7:V$66,1),0),1,0))+IF(W7=0,0,IF(W7=IFERROR(LARGE(W$7:W$66,1),0),1,0))+IF(X7=0,0,IF(X7=IFERROR(LARGE(X$7:X$66,1),0),1,0))+IF(Y7=0,0,IF(Y7=IFERROR(LARGE(Y$7:Y$66,1),0),1,0))+IF(Z7=0,0,IF(Z7=IFERROR(LARGE(Z$7:Z$66,1),0),1,0))+IF(AA7=0,0,IF(AA7=IFERROR(LARGE(AA$7:AA$66,1),0),1,0))+IF(AB7=0,0,IF(AB7=IFERROR(LARGE(AB$7:AB$66,1),0),1,0))+IF(AC7=0,0,IF(AC7=IFERROR(LARGE(AC$7:AC$66,1),0),1,0))+IF(AD7=0,0,IF(AD7=IFERROR(LARGE(AD$7:AD$66,1),0),1,0))+IF(AE7=0,0,IF(AE7=IFERROR(LARGE(AE$7:AE$66,1),0),1,0))</f>
        <v>3</v>
      </c>
    </row>
    <row r="8" spans="1:38" x14ac:dyDescent="0.2">
      <c r="A8" s="1026" t="str">
        <f>IF(M8="k",RANK(B8,B$7:B$66,0),"")</f>
        <v/>
      </c>
      <c r="B8" s="266">
        <f t="shared" si="0"/>
        <v>0</v>
      </c>
      <c r="C8" s="945">
        <v>1</v>
      </c>
      <c r="D8" s="1029" t="str">
        <f>IF(J8="n",RANK(E8,E$7:E$66,0),"")</f>
        <v/>
      </c>
      <c r="E8" s="1028">
        <f t="shared" ref="E8:E66" si="6">IF((J8="n"),N8+10000,0)</f>
        <v>0</v>
      </c>
      <c r="F8" s="1025" t="str">
        <f>IF(K8="j",RANK(G8,G$7:G$66,0),"")</f>
        <v/>
      </c>
      <c r="G8" s="266">
        <f t="shared" ref="G8:G66" si="7">IF((K8="j"),N8+10000,0)</f>
        <v>0</v>
      </c>
      <c r="H8" s="209">
        <f>IF(N8&gt;0,RANK(Q8,Q$7:Q$66,1),"")</f>
        <v>2</v>
      </c>
      <c r="I8" s="938" t="s">
        <v>99</v>
      </c>
      <c r="J8" s="269"/>
      <c r="K8" s="270"/>
      <c r="L8" s="1382" t="s">
        <v>647</v>
      </c>
      <c r="M8" s="274"/>
      <c r="N8" s="1019">
        <f t="shared" si="1"/>
        <v>91</v>
      </c>
      <c r="O8" s="268" t="str">
        <f>INDEX(ETAPP!B$1:B$32,MATCH(COUNTIF(V8:AE8,PVO!A$1),ETAPP!A$1:A$32,0))&amp;INDEX(ETAPP!B$1:B$32,MATCH(COUNTIF(V8:AE8,PVO!A$2),ETAPP!A$1:A$32,0))&amp;INDEX(ETAPP!B$1:B$32,MATCH(COUNTIF(V8:AE8,PVO!A$3),ETAPP!A$1:A$32,0))&amp;INDEX(ETAPP!B$1:B$32,MATCH(COUNTIF(V8:AE8,PVO!A$4),ETAPP!A$1:A$32,0))&amp;INDEX(ETAPP!B$1:B$32,MATCH(COUNTIF(V8:AE8,PVO!A$5),ETAPP!A$1:A$32,0))&amp;INDEX(ETAPP!B$1:B$32,MATCH(COUNTIF(V8:AE8,PVO!A$6),ETAPP!A$1:A$32,0))&amp;INDEX(ETAPP!B$1:B$32,MATCH(COUNTIF(V8:AE8,PVO!A$7),ETAPP!A$1:A$32,0))&amp;INDEX(ETAPP!B$1:B$32,MATCH(COUNTIF(V8:AE8,PVO!A$8),ETAPP!A$1:A$32,0))&amp;INDEX(ETAPP!B$1:B$32,MATCH(COUNTIF(V8:AE8,PVO!A$9),ETAPP!A$1:A$32,0))&amp;INDEX(ETAPP!B$1:B$32,MATCH(COUNTIF(V8:AE8,PVO!A$10),ETAPP!A$1:A$32,0))&amp;INDEX(ETAPP!B$1:B$32,MATCH(COUNTIF(V8:AE8,PVO!A$11),ETAPP!A$1:A$32,0))&amp;INDEX(ETAPP!B$1:B$32,MATCH(COUNTIF(V8:AE8,PVO!A$12),ETAPP!A$1:A$32,0))&amp;INDEX(ETAPP!B$1:B$32,MATCH(COUNTIF(V8:AE8,PVO!A$13),ETAPP!A$1:A$32,0))&amp;INDEX(ETAPP!B$1:B$32,MATCH(COUNTIF(V8:AE8,PVO!A$14),ETAPP!A$1:A$32,0))&amp;INDEX(ETAPP!B$1:B$32,MATCH(COUNTIF(V8:AE8,PVO!A$15),ETAPP!A$1:A$32,0))&amp;INDEX(ETAPP!B$1:B$32,MATCH(COUNTIF(V8:AE8,PVO!A$16),ETAPP!A$1:A$32,0))&amp;INDEX(ETAPP!B$1:B$32,MATCH(COUNTIF(V8:AE8,PVO!A$17),ETAPP!A$1:A$32,0))&amp;INDEX(ETAPP!B$1:B$32,MATCH(COUNTIF(V8:AE8,PVO!A$18),ETAPP!A$1:A$32,0))&amp;INDEX(ETAPP!B$1:B$32,MATCH(COUNTIF(V8:AE8,PVO!A$19),ETAPP!A$1:A$32,0))&amp;INDEX(ETAPP!B$1:B$32,MATCH(COUNTIF(V8:AE8,PVO!A$20),ETAPP!A$1:A$32,0))&amp;INDEX(ETAPP!B$1:B$32,MATCH(COUNTIF(V8:AE8,PVO!A$21),ETAPP!A$1:A$32,0))&amp;INDEX(ETAPP!B$1:B$32,MATCH(COUNTIF(V8:AE8,PVO!A$22),ETAPP!A$1:A$32,0))</f>
        <v>0000A0000AA000A0AA0000</v>
      </c>
      <c r="P8" s="268" t="str">
        <f t="shared" si="2"/>
        <v>091,0-0000A0000AA000A0AA0000</v>
      </c>
      <c r="Q8" s="268">
        <f>COUNTIF(P$7:P$66,"&gt;="&amp;P8)</f>
        <v>2</v>
      </c>
      <c r="R8" s="268">
        <f>COUNTIF(I$7:I$66,"&gt;="&amp;I8)</f>
        <v>49</v>
      </c>
      <c r="S8" s="268" t="str">
        <f t="shared" si="3"/>
        <v>091,0-0000A0000AA000A0AA0000-049</v>
      </c>
      <c r="T8" s="268">
        <f>COUNTIF(S$7:S$66,"&gt;="&amp;S8)</f>
        <v>2</v>
      </c>
      <c r="U8" s="832">
        <f>RANK(T8,T$7:T$66,0)</f>
        <v>59</v>
      </c>
      <c r="V8" s="210">
        <f>IFERROR(INDEX('V1'!C$300:C$400,MATCH("*"&amp;I8&amp;"*",'V1'!B$300:B$400,0)),"  ")</f>
        <v>4</v>
      </c>
      <c r="W8" s="210">
        <f>IFERROR(INDEX('V2'!C$300:C$400,MATCH("*"&amp;I8&amp;"*",'V2'!B$300:B$400,0)),"  ")</f>
        <v>12.5</v>
      </c>
      <c r="X8" s="210">
        <f>IFERROR(INDEX('V3'!C$300:C$400,MATCH("*"&amp;I8&amp;"*",'V3'!B$300:B$400,0)),"  ")</f>
        <v>6</v>
      </c>
      <c r="Y8" s="210">
        <f>IFERROR(INDEX('V4'!C$300:C$400,MATCH("*"&amp;I8&amp;"*",'V4'!B$300:B$400,0)),"  ")</f>
        <v>11</v>
      </c>
      <c r="Z8" s="210">
        <f>IFERROR(INDEX('V5'!C$300:C$400,MATCH("*"&amp;I8&amp;"*",'V5'!B$300:B$400,0)),"  ")</f>
        <v>8.5</v>
      </c>
      <c r="AA8" s="210">
        <f>IFERROR(INDEX('V6'!C$300:C$400,MATCH("*"&amp;I8&amp;"*",'V6'!B$300:B$400,0)),"  ")</f>
        <v>16</v>
      </c>
      <c r="AB8" s="210">
        <f>IFERROR(INDEX('V7'!C$300:C$400,MATCH("*"&amp;I8&amp;"*",'V7'!B$300:B$400,0)),"  ")</f>
        <v>3</v>
      </c>
      <c r="AC8" s="210">
        <f>IFERROR(INDEX('V8'!C$300:C$400,MATCH("*"&amp;I8&amp;"*",'V8'!B$300:B$400,0)),"  ")</f>
        <v>10.5</v>
      </c>
      <c r="AD8" s="210">
        <f>IFERROR(INDEX('V9'!C$300:C$400,MATCH("*"&amp;I8&amp;"*",'V9'!B$300:B$400,0)),"  ")</f>
        <v>9.5</v>
      </c>
      <c r="AE8" s="210">
        <f>IFERROR(INDEX('V10'!C$300:C$400,MATCH("*"&amp;I8&amp;"*",'V10'!B$300:B$400,0)),"  ")</f>
        <v>10</v>
      </c>
      <c r="AF8" s="211">
        <f t="shared" si="4"/>
        <v>1</v>
      </c>
      <c r="AG8" s="211">
        <f t="shared" ref="AG8:AG66" si="8">IF(AF8=1,U8,"")</f>
        <v>59</v>
      </c>
      <c r="AH8" s="1362" t="str">
        <f>IFERROR(IF(COUNTIF(V8:AE8,"&gt;0")&gt;=3,"edasi ","puudu "&amp;3-COUNT(V8:AE8))&amp;IF(OR(COUNTIF(V8:AE8,"&gt;0")&lt;3,COUNTIF(AE$7:AE$66,"&gt;0")=0),"",RANK(AG8,AG$7:AG$66,0)),"")</f>
        <v>edasi 2</v>
      </c>
      <c r="AI8" s="960">
        <f>IFERROR(INDEX('V-Fin'!A$300:A$325,MATCH(I8,'V-Fin'!B$300:B$325,0)),"")</f>
        <v>2</v>
      </c>
      <c r="AJ8" s="214">
        <f t="shared" si="5"/>
        <v>10</v>
      </c>
      <c r="AK8" s="212">
        <f>IFERROR(IF(V8+1&gt;LARGE(V$7:V$66,1)-2,1),0)+IFERROR(IF(W8+1&gt;LARGE(W$7:W$66,1)-2,1),0)+IFERROR(IF(X8+1&gt;LARGE(X$7:X$66,1)-2,1),0)+IFERROR(IF(Y8+1&gt;LARGE(Y$7:Y$66,1)-2,1),0)+IFERROR(IF(Z8+1&gt;LARGE(Z$7:Z$66,1)-2,1),0)+IFERROR(IF(AA8+1&gt;LARGE(AA$7:AA$66,1)-2,1),0)+IFERROR(IF(AB8+1&gt;LARGE(AB$7:AB$66,1)-2,1),0)+IFERROR(IF(AC8+1&gt;LARGE(AC$7:AC$66,1)-2,1),0)+IFERROR(IF(AD8+1&gt;LARGE(AD$7:AD$66,1)-2,1),0)+IFERROR(IF(AE8+1&gt;LARGE(AE$7:AE$66,1)-2,1),0)</f>
        <v>4</v>
      </c>
      <c r="AL8" s="212">
        <f>IF(V8=0,0,IF(V8=IFERROR(LARGE(V$7:V$66,1),0),1,0))+IF(W8=0,0,IF(W8=IFERROR(LARGE(W$7:W$66,1),0),1,0))+IF(X8=0,0,IF(X8=IFERROR(LARGE(X$7:X$66,1),0),1,0))+IF(Y8=0,0,IF(Y8=IFERROR(LARGE(Y$7:Y$66,1),0),1,0))+IF(Z8=0,0,IF(Z8=IFERROR(LARGE(Z$7:Z$66,1),0),1,0))+IF(AA8=0,0,IF(AA8=IFERROR(LARGE(AA$7:AA$66,1),0),1,0))+IF(AB8=0,0,IF(AB8=IFERROR(LARGE(AB$7:AB$66,1),0),1,0))+IF(AC8=0,0,IF(AC8=IFERROR(LARGE(AC$7:AC$66,1),0),1,0))+IF(AD8=0,0,IF(AD8=IFERROR(LARGE(AD$7:AD$66,1),0),1,0))+IF(AE8=0,0,IF(AE8=IFERROR(LARGE(AE$7:AE$66,1),0),1,0))</f>
        <v>1</v>
      </c>
    </row>
    <row r="9" spans="1:38" x14ac:dyDescent="0.2">
      <c r="A9" s="1026" t="str">
        <f>IF(M9="k",RANK(B9,B$7:B$66,0),"")</f>
        <v/>
      </c>
      <c r="B9" s="266">
        <f t="shared" si="0"/>
        <v>0</v>
      </c>
      <c r="C9" s="944"/>
      <c r="D9" s="1029" t="str">
        <f>IF(J9="n",RANK(E9,E$7:E$66,0),"")</f>
        <v/>
      </c>
      <c r="E9" s="1028">
        <f t="shared" si="6"/>
        <v>0</v>
      </c>
      <c r="F9" s="1025" t="str">
        <f>IF(K9="j",RANK(G9,G$7:G$66,0),"")</f>
        <v/>
      </c>
      <c r="G9" s="266">
        <f t="shared" si="7"/>
        <v>0</v>
      </c>
      <c r="H9" s="209">
        <f>IF(N9&gt;0,RANK(Q9,Q$7:Q$66,1),"")</f>
        <v>3</v>
      </c>
      <c r="I9" s="939" t="s">
        <v>96</v>
      </c>
      <c r="J9" s="269"/>
      <c r="K9" s="270"/>
      <c r="L9" s="1381"/>
      <c r="M9" s="274"/>
      <c r="N9" s="1019">
        <f t="shared" si="1"/>
        <v>89</v>
      </c>
      <c r="O9" s="268" t="str">
        <f>INDEX(ETAPP!B$1:B$32,MATCH(COUNTIF(V9:AE9,PVO!A$1),ETAPP!A$1:A$32,0))&amp;INDEX(ETAPP!B$1:B$32,MATCH(COUNTIF(V9:AE9,PVO!A$2),ETAPP!A$1:A$32,0))&amp;INDEX(ETAPP!B$1:B$32,MATCH(COUNTIF(V9:AE9,PVO!A$3),ETAPP!A$1:A$32,0))&amp;INDEX(ETAPP!B$1:B$32,MATCH(COUNTIF(V9:AE9,PVO!A$4),ETAPP!A$1:A$32,0))&amp;INDEX(ETAPP!B$1:B$32,MATCH(COUNTIF(V9:AE9,PVO!A$5),ETAPP!A$1:A$32,0))&amp;INDEX(ETAPP!B$1:B$32,MATCH(COUNTIF(V9:AE9,PVO!A$6),ETAPP!A$1:A$32,0))&amp;INDEX(ETAPP!B$1:B$32,MATCH(COUNTIF(V9:AE9,PVO!A$7),ETAPP!A$1:A$32,0))&amp;INDEX(ETAPP!B$1:B$32,MATCH(COUNTIF(V9:AE9,PVO!A$8),ETAPP!A$1:A$32,0))&amp;INDEX(ETAPP!B$1:B$32,MATCH(COUNTIF(V9:AE9,PVO!A$9),ETAPP!A$1:A$32,0))&amp;INDEX(ETAPP!B$1:B$32,MATCH(COUNTIF(V9:AE9,PVO!A$10),ETAPP!A$1:A$32,0))&amp;INDEX(ETAPP!B$1:B$32,MATCH(COUNTIF(V9:AE9,PVO!A$11),ETAPP!A$1:A$32,0))&amp;INDEX(ETAPP!B$1:B$32,MATCH(COUNTIF(V9:AE9,PVO!A$12),ETAPP!A$1:A$32,0))&amp;INDEX(ETAPP!B$1:B$32,MATCH(COUNTIF(V9:AE9,PVO!A$13),ETAPP!A$1:A$32,0))&amp;INDEX(ETAPP!B$1:B$32,MATCH(COUNTIF(V9:AE9,PVO!A$14),ETAPP!A$1:A$32,0))&amp;INDEX(ETAPP!B$1:B$32,MATCH(COUNTIF(V9:AE9,PVO!A$15),ETAPP!A$1:A$32,0))&amp;INDEX(ETAPP!B$1:B$32,MATCH(COUNTIF(V9:AE9,PVO!A$16),ETAPP!A$1:A$32,0))&amp;INDEX(ETAPP!B$1:B$32,MATCH(COUNTIF(V9:AE9,PVO!A$17),ETAPP!A$1:A$32,0))&amp;INDEX(ETAPP!B$1:B$32,MATCH(COUNTIF(V9:AE9,PVO!A$18),ETAPP!A$1:A$32,0))&amp;INDEX(ETAPP!B$1:B$32,MATCH(COUNTIF(V9:AE9,PVO!A$19),ETAPP!A$1:A$32,0))&amp;INDEX(ETAPP!B$1:B$32,MATCH(COUNTIF(V9:AE9,PVO!A$20),ETAPP!A$1:A$32,0))&amp;INDEX(ETAPP!B$1:B$32,MATCH(COUNTIF(V9:AE9,PVO!A$21),ETAPP!A$1:A$32,0))&amp;INDEX(ETAPP!B$1:B$32,MATCH(COUNTIF(V9:AE9,PVO!A$22),ETAPP!A$1:A$32,0))</f>
        <v>0000A0000A00A0A0AA0000</v>
      </c>
      <c r="P9" s="268" t="str">
        <f t="shared" si="2"/>
        <v>089,0-0000A0000A00A0A0AA0000</v>
      </c>
      <c r="Q9" s="268">
        <f>COUNTIF(P$7:P$66,"&gt;="&amp;P9)</f>
        <v>3</v>
      </c>
      <c r="R9" s="268">
        <f>COUNTIF(I$7:I$66,"&gt;="&amp;I9)</f>
        <v>8</v>
      </c>
      <c r="S9" s="268" t="str">
        <f t="shared" si="3"/>
        <v>089,0-0000A0000A00A0A0AA0000-008</v>
      </c>
      <c r="T9" s="268">
        <f>COUNTIF(S$7:S$66,"&gt;="&amp;S9)</f>
        <v>3</v>
      </c>
      <c r="U9" s="832">
        <f>RANK(T9,T$7:T$66,0)</f>
        <v>58</v>
      </c>
      <c r="V9" s="210">
        <f>IFERROR(INDEX('V1'!C$300:C$400,MATCH("*"&amp;I9&amp;"*",'V1'!B$300:B$400,0)),"  ")</f>
        <v>4</v>
      </c>
      <c r="W9" s="210">
        <f>IFERROR(INDEX('V2'!C$300:C$400,MATCH("*"&amp;I9&amp;"*",'V2'!B$300:B$400,0)),"  ")</f>
        <v>12.5</v>
      </c>
      <c r="X9" s="210">
        <f>IFERROR(INDEX('V3'!C$300:C$400,MATCH("*"&amp;I9&amp;"*",'V3'!B$300:B$400,0)),"  ")</f>
        <v>6</v>
      </c>
      <c r="Y9" s="210">
        <f>IFERROR(INDEX('V4'!C$300:C$400,MATCH("*"&amp;I9&amp;"*",'V4'!B$300:B$400,0)),"  ")</f>
        <v>11</v>
      </c>
      <c r="Z9" s="210">
        <f>IFERROR(INDEX('V5'!C$300:C$400,MATCH("*"&amp;I9&amp;"*",'V5'!B$300:B$400,0)),"  ")</f>
        <v>8.5</v>
      </c>
      <c r="AA9" s="210">
        <f>IFERROR(INDEX('V6'!C$300:C$400,MATCH("*"&amp;I9&amp;"*",'V6'!B$300:B$400,0)),"  ")</f>
        <v>16</v>
      </c>
      <c r="AB9" s="210">
        <f>IFERROR(INDEX('V7'!C$300:C$400,MATCH("*"&amp;I9&amp;"*",'V7'!B$300:B$400,0)),"  ")</f>
        <v>3</v>
      </c>
      <c r="AC9" s="210">
        <f>IFERROR(INDEX('V8'!C$300:C$400,MATCH("*"&amp;I9&amp;"*",'V8'!B$300:B$400,0)),"  ")</f>
        <v>10.5</v>
      </c>
      <c r="AD9" s="210">
        <f>IFERROR(INDEX('V9'!C$300:C$400,MATCH("*"&amp;I9&amp;"*",'V9'!B$300:B$400,0)),"  ")</f>
        <v>9.5</v>
      </c>
      <c r="AE9" s="210">
        <f>IFERROR(INDEX('V10'!C$300:C$400,MATCH("*"&amp;I9&amp;"*",'V10'!B$300:B$400,0)),"  ")</f>
        <v>8</v>
      </c>
      <c r="AF9" s="211">
        <f t="shared" si="4"/>
        <v>1</v>
      </c>
      <c r="AG9" s="211">
        <f t="shared" si="8"/>
        <v>58</v>
      </c>
      <c r="AH9" s="1362" t="str">
        <f>IFERROR(IF(COUNTIF(V9:AE9,"&gt;0")&gt;=3,"edasi ","puudu "&amp;3-COUNT(V9:AE9))&amp;IF(OR(COUNTIF(V9:AE9,"&gt;0")&lt;3,COUNTIF(AE$7:AE$66,"&gt;0")=0),"",RANK(AG9,AG$7:AG$66,0)),"")</f>
        <v>edasi 3</v>
      </c>
      <c r="AI9" s="959">
        <f>IFERROR(INDEX('V-Fin'!A$300:A$325,MATCH(I9,'V-Fin'!B$300:B$325,0)),"")</f>
        <v>5</v>
      </c>
      <c r="AJ9" s="214">
        <f t="shared" si="5"/>
        <v>10</v>
      </c>
      <c r="AK9" s="212">
        <f>IFERROR(IF(V9+1&gt;LARGE(V$7:V$66,1)-2,1),0)+IFERROR(IF(W9+1&gt;LARGE(W$7:W$66,1)-2,1),0)+IFERROR(IF(X9+1&gt;LARGE(X$7:X$66,1)-2,1),0)+IFERROR(IF(Y9+1&gt;LARGE(Y$7:Y$66,1)-2,1),0)+IFERROR(IF(Z9+1&gt;LARGE(Z$7:Z$66,1)-2,1),0)+IFERROR(IF(AA9+1&gt;LARGE(AA$7:AA$66,1)-2,1),0)+IFERROR(IF(AB9+1&gt;LARGE(AB$7:AB$66,1)-2,1),0)+IFERROR(IF(AC9+1&gt;LARGE(AC$7:AC$66,1)-2,1),0)+IFERROR(IF(AD9+1&gt;LARGE(AD$7:AD$66,1)-2,1),0)+IFERROR(IF(AE9+1&gt;LARGE(AE$7:AE$66,1)-2,1),0)</f>
        <v>3</v>
      </c>
      <c r="AL9" s="212">
        <f>IF(V9=0,0,IF(V9=IFERROR(LARGE(V$7:V$66,1),0),1,0))+IF(W9=0,0,IF(W9=IFERROR(LARGE(W$7:W$66,1),0),1,0))+IF(X9=0,0,IF(X9=IFERROR(LARGE(X$7:X$66,1),0),1,0))+IF(Y9=0,0,IF(Y9=IFERROR(LARGE(Y$7:Y$66,1),0),1,0))+IF(Z9=0,0,IF(Z9=IFERROR(LARGE(Z$7:Z$66,1),0),1,0))+IF(AA9=0,0,IF(AA9=IFERROR(LARGE(AA$7:AA$66,1),0),1,0))+IF(AB9=0,0,IF(AB9=IFERROR(LARGE(AB$7:AB$66,1),0),1,0))+IF(AC9=0,0,IF(AC9=IFERROR(LARGE(AC$7:AC$66,1),0),1,0))+IF(AD9=0,0,IF(AD9=IFERROR(LARGE(AD$7:AD$66,1),0),1,0))+IF(AE9=0,0,IF(AE9=IFERROR(LARGE(AE$7:AE$66,1),0),1,0))</f>
        <v>1</v>
      </c>
    </row>
    <row r="10" spans="1:38" x14ac:dyDescent="0.2">
      <c r="A10" s="1030">
        <f>IF(M10="k",RANK(B10,B$7:B$66,0),"")</f>
        <v>1</v>
      </c>
      <c r="B10" s="266">
        <f t="shared" si="0"/>
        <v>10089</v>
      </c>
      <c r="C10" s="944"/>
      <c r="D10" s="1029" t="str">
        <f>IF(J10="n",RANK(E10,E$7:E$66,0),"")</f>
        <v/>
      </c>
      <c r="E10" s="1028">
        <f t="shared" si="6"/>
        <v>0</v>
      </c>
      <c r="F10" s="1025" t="str">
        <f>IF(K10="j",RANK(G10,G$7:G$66,0),"")</f>
        <v/>
      </c>
      <c r="G10" s="266">
        <f t="shared" si="7"/>
        <v>0</v>
      </c>
      <c r="H10" s="1368">
        <v>3</v>
      </c>
      <c r="I10" s="939" t="s">
        <v>101</v>
      </c>
      <c r="J10" s="269"/>
      <c r="K10" s="270"/>
      <c r="L10" s="1381"/>
      <c r="M10" s="274" t="s">
        <v>187</v>
      </c>
      <c r="N10" s="1019">
        <f t="shared" si="1"/>
        <v>89</v>
      </c>
      <c r="O10" s="268" t="str">
        <f>INDEX(ETAPP!B$1:B$32,MATCH(COUNTIF(V10:AE10,PVO!A$1),ETAPP!A$1:A$32,0))&amp;INDEX(ETAPP!B$1:B$32,MATCH(COUNTIF(V10:AE10,PVO!A$2),ETAPP!A$1:A$32,0))&amp;INDEX(ETAPP!B$1:B$32,MATCH(COUNTIF(V10:AE10,PVO!A$3),ETAPP!A$1:A$32,0))&amp;INDEX(ETAPP!B$1:B$32,MATCH(COUNTIF(V10:AE10,PVO!A$4),ETAPP!A$1:A$32,0))&amp;INDEX(ETAPP!B$1:B$32,MATCH(COUNTIF(V10:AE10,PVO!A$5),ETAPP!A$1:A$32,0))&amp;INDEX(ETAPP!B$1:B$32,MATCH(COUNTIF(V10:AE10,PVO!A$6),ETAPP!A$1:A$32,0))&amp;INDEX(ETAPP!B$1:B$32,MATCH(COUNTIF(V10:AE10,PVO!A$7),ETAPP!A$1:A$32,0))&amp;INDEX(ETAPP!B$1:B$32,MATCH(COUNTIF(V10:AE10,PVO!A$8),ETAPP!A$1:A$32,0))&amp;INDEX(ETAPP!B$1:B$32,MATCH(COUNTIF(V10:AE10,PVO!A$9),ETAPP!A$1:A$32,0))&amp;INDEX(ETAPP!B$1:B$32,MATCH(COUNTIF(V10:AE10,PVO!A$10),ETAPP!A$1:A$32,0))&amp;INDEX(ETAPP!B$1:B$32,MATCH(COUNTIF(V10:AE10,PVO!A$11),ETAPP!A$1:A$32,0))&amp;INDEX(ETAPP!B$1:B$32,MATCH(COUNTIF(V10:AE10,PVO!A$12),ETAPP!A$1:A$32,0))&amp;INDEX(ETAPP!B$1:B$32,MATCH(COUNTIF(V10:AE10,PVO!A$13),ETAPP!A$1:A$32,0))&amp;INDEX(ETAPP!B$1:B$32,MATCH(COUNTIF(V10:AE10,PVO!A$14),ETAPP!A$1:A$32,0))&amp;INDEX(ETAPP!B$1:B$32,MATCH(COUNTIF(V10:AE10,PVO!A$15),ETAPP!A$1:A$32,0))&amp;INDEX(ETAPP!B$1:B$32,MATCH(COUNTIF(V10:AE10,PVO!A$16),ETAPP!A$1:A$32,0))&amp;INDEX(ETAPP!B$1:B$32,MATCH(COUNTIF(V10:AE10,PVO!A$17),ETAPP!A$1:A$32,0))&amp;INDEX(ETAPP!B$1:B$32,MATCH(COUNTIF(V10:AE10,PVO!A$18),ETAPP!A$1:A$32,0))&amp;INDEX(ETAPP!B$1:B$32,MATCH(COUNTIF(V10:AE10,PVO!A$19),ETAPP!A$1:A$32,0))&amp;INDEX(ETAPP!B$1:B$32,MATCH(COUNTIF(V10:AE10,PVO!A$20),ETAPP!A$1:A$32,0))&amp;INDEX(ETAPP!B$1:B$32,MATCH(COUNTIF(V10:AE10,PVO!A$21),ETAPP!A$1:A$32,0))&amp;INDEX(ETAPP!B$1:B$32,MATCH(COUNTIF(V10:AE10,PVO!A$22),ETAPP!A$1:A$32,0))</f>
        <v>0000000A000AB0A000000A</v>
      </c>
      <c r="P10" s="268" t="str">
        <f t="shared" si="2"/>
        <v>089,0-0000000A000AB0A000000A</v>
      </c>
      <c r="Q10" s="268">
        <f>COUNTIF(P$7:P$66,"&gt;="&amp;P10)</f>
        <v>4</v>
      </c>
      <c r="R10" s="268">
        <f>COUNTIF(I$7:I$66,"&gt;="&amp;I10)</f>
        <v>28</v>
      </c>
      <c r="S10" s="268" t="str">
        <f t="shared" si="3"/>
        <v>089,0-0000000A000AB0A000000A-028</v>
      </c>
      <c r="T10" s="268">
        <f>COUNTIF(S$7:S$66,"&gt;="&amp;S10)</f>
        <v>4</v>
      </c>
      <c r="U10" s="832">
        <f>RANK(T10,T$7:T$66,0)</f>
        <v>57</v>
      </c>
      <c r="V10" s="210">
        <f>IFERROR(INDEX('V1'!C$300:C$400,MATCH("*"&amp;I10&amp;"*",'V1'!B$300:B$400,0)),"  ")</f>
        <v>8</v>
      </c>
      <c r="W10" s="210">
        <f>IFERROR(INDEX('V2'!C$300:C$400,MATCH("*"&amp;I10&amp;"*",'V2'!B$300:B$400,0)),"  ")</f>
        <v>12.5</v>
      </c>
      <c r="X10" s="210">
        <f>IFERROR(INDEX('V3'!C$300:C$400,MATCH("*"&amp;I10&amp;"*",'V3'!B$300:B$400,0)),"  ")</f>
        <v>12.5</v>
      </c>
      <c r="Y10" s="210">
        <f>IFERROR(INDEX('V4'!C$300:C$400,MATCH("*"&amp;I10&amp;"*",'V4'!B$300:B$400,0)),"  ")</f>
        <v>13</v>
      </c>
      <c r="Z10" s="210">
        <f>IFERROR(INDEX('V5'!C$300:C$400,MATCH("*"&amp;I10&amp;"*",'V5'!B$300:B$400,0)),"  ")</f>
        <v>11.5</v>
      </c>
      <c r="AA10" s="210">
        <f>IFERROR(INDEX('V6'!C$300:C$400,MATCH("*"&amp;I10&amp;"*",'V6'!B$300:B$400,0)),"  ")</f>
        <v>6</v>
      </c>
      <c r="AB10" s="210">
        <f>IFERROR(INDEX('V7'!C$300:C$400,MATCH("*"&amp;I10&amp;"*",'V7'!B$300:B$400,0)),"  ")</f>
        <v>8.5</v>
      </c>
      <c r="AC10" s="210">
        <f>IFERROR(INDEX('V8'!C$300:C$400,MATCH("*"&amp;I10&amp;"*",'V8'!B$300:B$400,0)),"  ")</f>
        <v>8</v>
      </c>
      <c r="AD10" s="210" t="str">
        <f>IFERROR(INDEX('V9'!C$300:C$400,MATCH("*"&amp;I10&amp;"*",'V9'!B$300:B$400,0)),"  ")</f>
        <v xml:space="preserve">  </v>
      </c>
      <c r="AE10" s="210">
        <f>IFERROR(INDEX('V10'!C$300:C$400,MATCH("*"&amp;I10&amp;"*",'V10'!B$300:B$400,0)),"  ")</f>
        <v>9</v>
      </c>
      <c r="AF10" s="211">
        <f t="shared" si="4"/>
        <v>1</v>
      </c>
      <c r="AG10" s="211">
        <f t="shared" si="8"/>
        <v>57</v>
      </c>
      <c r="AH10" s="1367" t="s">
        <v>676</v>
      </c>
      <c r="AI10" s="959">
        <f>IFERROR(INDEX('V-Fin'!A$300:A$325,MATCH(I10,'V-Fin'!B$300:B$325,0)),"")</f>
        <v>22</v>
      </c>
      <c r="AJ10" s="214">
        <f t="shared" si="5"/>
        <v>9</v>
      </c>
      <c r="AK10" s="212">
        <f>IFERROR(IF(V10+1&gt;LARGE(V$7:V$66,1)-2,1),0)+IFERROR(IF(W10+1&gt;LARGE(W$7:W$66,1)-2,1),0)+IFERROR(IF(X10+1&gt;LARGE(X$7:X$66,1)-2,1),0)+IFERROR(IF(Y10+1&gt;LARGE(Y$7:Y$66,1)-2,1),0)+IFERROR(IF(Z10+1&gt;LARGE(Z$7:Z$66,1)-2,1),0)+IFERROR(IF(AA10+1&gt;LARGE(AA$7:AA$66,1)-2,1),0)+IFERROR(IF(AB10+1&gt;LARGE(AB$7:AB$66,1)-2,1),0)+IFERROR(IF(AC10+1&gt;LARGE(AC$7:AC$66,1)-2,1),0)+IFERROR(IF(AD10+1&gt;LARGE(AD$7:AD$66,1)-2,1),0)+IFERROR(IF(AE10+1&gt;LARGE(AE$7:AE$66,1)-2,1),0)</f>
        <v>5</v>
      </c>
      <c r="AL10" s="212">
        <f>IF(V10=0,0,IF(V10=IFERROR(LARGE(V$7:V$66,1),0),1,0))+IF(W10=0,0,IF(W10=IFERROR(LARGE(W$7:W$66,1),0),1,0))+IF(X10=0,0,IF(X10=IFERROR(LARGE(X$7:X$66,1),0),1,0))+IF(Y10=0,0,IF(Y10=IFERROR(LARGE(Y$7:Y$66,1),0),1,0))+IF(Z10=0,0,IF(Z10=IFERROR(LARGE(Z$7:Z$66,1),0),1,0))+IF(AA10=0,0,IF(AA10=IFERROR(LARGE(AA$7:AA$66,1),0),1,0))+IF(AB10=0,0,IF(AB10=IFERROR(LARGE(AB$7:AB$66,1),0),1,0))+IF(AC10=0,0,IF(AC10=IFERROR(LARGE(AC$7:AC$66,1),0),1,0))+IF(AD10=0,0,IF(AD10=IFERROR(LARGE(AD$7:AD$66,1),0),1,0))+IF(AE10=0,0,IF(AE10=IFERROR(LARGE(AE$7:AE$66,1),0),1,0))</f>
        <v>1</v>
      </c>
    </row>
    <row r="11" spans="1:38" x14ac:dyDescent="0.2">
      <c r="A11" s="1026">
        <f>IF(M11="k",RANK(B11,B$7:B$66,0),"")</f>
        <v>2</v>
      </c>
      <c r="B11" s="266">
        <f t="shared" si="0"/>
        <v>10087</v>
      </c>
      <c r="C11" s="944"/>
      <c r="D11" s="1029" t="str">
        <f>IF(J11="n",RANK(E11,E$7:E$66,0),"")</f>
        <v/>
      </c>
      <c r="E11" s="1028">
        <f t="shared" si="6"/>
        <v>0</v>
      </c>
      <c r="F11" s="1025" t="str">
        <f>IF(K11="j",RANK(G11,G$7:G$66,0),"")</f>
        <v/>
      </c>
      <c r="G11" s="266">
        <f t="shared" si="7"/>
        <v>0</v>
      </c>
      <c r="H11" s="209">
        <f>IF(N11&gt;0,RANK(Q11,Q$7:Q$66,1),"")</f>
        <v>5</v>
      </c>
      <c r="I11" s="949" t="s">
        <v>209</v>
      </c>
      <c r="J11" s="269"/>
      <c r="K11" s="270"/>
      <c r="L11" s="1382" t="s">
        <v>647</v>
      </c>
      <c r="M11" s="274" t="s">
        <v>187</v>
      </c>
      <c r="N11" s="1019">
        <f t="shared" si="1"/>
        <v>87</v>
      </c>
      <c r="O11" s="268" t="str">
        <f>INDEX(ETAPP!B$1:B$32,MATCH(COUNTIF(V11:AE11,PVO!A$1),ETAPP!A$1:A$32,0))&amp;INDEX(ETAPP!B$1:B$32,MATCH(COUNTIF(V11:AE11,PVO!A$2),ETAPP!A$1:A$32,0))&amp;INDEX(ETAPP!B$1:B$32,MATCH(COUNTIF(V11:AE11,PVO!A$3),ETAPP!A$1:A$32,0))&amp;INDEX(ETAPP!B$1:B$32,MATCH(COUNTIF(V11:AE11,PVO!A$4),ETAPP!A$1:A$32,0))&amp;INDEX(ETAPP!B$1:B$32,MATCH(COUNTIF(V11:AE11,PVO!A$5),ETAPP!A$1:A$32,0))&amp;INDEX(ETAPP!B$1:B$32,MATCH(COUNTIF(V11:AE11,PVO!A$6),ETAPP!A$1:A$32,0))&amp;INDEX(ETAPP!B$1:B$32,MATCH(COUNTIF(V11:AE11,PVO!A$7),ETAPP!A$1:A$32,0))&amp;INDEX(ETAPP!B$1:B$32,MATCH(COUNTIF(V11:AE11,PVO!A$8),ETAPP!A$1:A$32,0))&amp;INDEX(ETAPP!B$1:B$32,MATCH(COUNTIF(V11:AE11,PVO!A$9),ETAPP!A$1:A$32,0))&amp;INDEX(ETAPP!B$1:B$32,MATCH(COUNTIF(V11:AE11,PVO!A$10),ETAPP!A$1:A$32,0))&amp;INDEX(ETAPP!B$1:B$32,MATCH(COUNTIF(V11:AE11,PVO!A$11),ETAPP!A$1:A$32,0))&amp;INDEX(ETAPP!B$1:B$32,MATCH(COUNTIF(V11:AE11,PVO!A$12),ETAPP!A$1:A$32,0))&amp;INDEX(ETAPP!B$1:B$32,MATCH(COUNTIF(V11:AE11,PVO!A$13),ETAPP!A$1:A$32,0))&amp;INDEX(ETAPP!B$1:B$32,MATCH(COUNTIF(V11:AE11,PVO!A$14),ETAPP!A$1:A$32,0))&amp;INDEX(ETAPP!B$1:B$32,MATCH(COUNTIF(V11:AE11,PVO!A$15),ETAPP!A$1:A$32,0))&amp;INDEX(ETAPP!B$1:B$32,MATCH(COUNTIF(V11:AE11,PVO!A$16),ETAPP!A$1:A$32,0))&amp;INDEX(ETAPP!B$1:B$32,MATCH(COUNTIF(V11:AE11,PVO!A$17),ETAPP!A$1:A$32,0))&amp;INDEX(ETAPP!B$1:B$32,MATCH(COUNTIF(V11:AE11,PVO!A$18),ETAPP!A$1:A$32,0))&amp;INDEX(ETAPP!B$1:B$32,MATCH(COUNTIF(V11:AE11,PVO!A$19),ETAPP!A$1:A$32,0))&amp;INDEX(ETAPP!B$1:B$32,MATCH(COUNTIF(V11:AE11,PVO!A$20),ETAPP!A$1:A$32,0))&amp;INDEX(ETAPP!B$1:B$32,MATCH(COUNTIF(V11:AE11,PVO!A$21),ETAPP!A$1:A$32,0))&amp;INDEX(ETAPP!B$1:B$32,MATCH(COUNTIF(V11:AE11,PVO!A$22),ETAPP!A$1:A$32,0))</f>
        <v>0000000A0B0AAB000A0000</v>
      </c>
      <c r="P11" s="268" t="str">
        <f t="shared" si="2"/>
        <v>087,0-0000000A0B0AAB000A0000</v>
      </c>
      <c r="Q11" s="268">
        <f>COUNTIF(P$7:P$66,"&gt;="&amp;P11)</f>
        <v>5</v>
      </c>
      <c r="R11" s="268">
        <f>COUNTIF(I$7:I$66,"&gt;="&amp;I11)</f>
        <v>34</v>
      </c>
      <c r="S11" s="268" t="str">
        <f t="shared" si="3"/>
        <v>087,0-0000000A0B0AAB000A0000-034</v>
      </c>
      <c r="T11" s="268">
        <f>COUNTIF(S$7:S$66,"&gt;="&amp;S11)</f>
        <v>5</v>
      </c>
      <c r="U11" s="832">
        <f>RANK(T11,T$7:T$66,0)</f>
        <v>56</v>
      </c>
      <c r="V11" s="210">
        <f>IFERROR(INDEX('V1'!C$300:C$400,MATCH("*"&amp;I11&amp;"*",'V1'!B$300:B$400,0)),"  ")</f>
        <v>8</v>
      </c>
      <c r="W11" s="210">
        <f>IFERROR(INDEX('V2'!C$300:C$400,MATCH("*"&amp;I11&amp;"*",'V2'!B$300:B$400,0)),"  ")</f>
        <v>11</v>
      </c>
      <c r="X11" s="210">
        <f>IFERROR(INDEX('V3'!C$300:C$400,MATCH("*"&amp;I11&amp;"*",'V3'!B$300:B$400,0)),"  ")</f>
        <v>7</v>
      </c>
      <c r="Y11" s="210">
        <f>IFERROR(INDEX('V4'!C$300:C$400,MATCH("*"&amp;I11&amp;"*",'V4'!B$300:B$400,0)),"  ")</f>
        <v>9</v>
      </c>
      <c r="Z11" s="210">
        <f>IFERROR(INDEX('V5'!C$300:C$400,MATCH("*"&amp;I11&amp;"*",'V5'!B$300:B$400,0)),"  ")</f>
        <v>13</v>
      </c>
      <c r="AA11" s="210">
        <f>IFERROR(INDEX('V6'!C$300:C$400,MATCH("*"&amp;I11&amp;"*",'V6'!B$300:B$400,0)),"  ")</f>
        <v>13.5</v>
      </c>
      <c r="AB11" s="210">
        <f>IFERROR(INDEX('V7'!C$300:C$400,MATCH("*"&amp;I11&amp;"*",'V7'!B$300:B$400,0)),"  ")</f>
        <v>7</v>
      </c>
      <c r="AC11" s="210">
        <f>IFERROR(INDEX('V8'!C$300:C$400,MATCH("*"&amp;I11&amp;"*",'V8'!B$300:B$400,0)),"  ")</f>
        <v>4.5</v>
      </c>
      <c r="AD11" s="210">
        <f>IFERROR(INDEX('V9'!C$300:C$400,MATCH("*"&amp;I11&amp;"*",'V9'!B$300:B$400,0)),"  ")</f>
        <v>11</v>
      </c>
      <c r="AE11" s="210">
        <f>IFERROR(INDEX('V10'!C$300:C$400,MATCH("*"&amp;I11&amp;"*",'V10'!B$300:B$400,0)),"  ")</f>
        <v>3</v>
      </c>
      <c r="AF11" s="211">
        <f t="shared" si="4"/>
        <v>1</v>
      </c>
      <c r="AG11" s="211">
        <f t="shared" si="8"/>
        <v>56</v>
      </c>
      <c r="AH11" s="1362" t="str">
        <f>IFERROR(IF(COUNTIF(V11:AE11,"&gt;0")&gt;=3,"edasi ","puudu "&amp;3-COUNT(V11:AE11))&amp;IF(OR(COUNTIF(V11:AE11,"&gt;0")&lt;3,COUNTIF(AE$7:AE$66,"&gt;0")=0),"",RANK(AG11,AG$7:AG$66,0)),"")</f>
        <v>edasi 5</v>
      </c>
      <c r="AI11" s="959">
        <f>IFERROR(INDEX('V-Fin'!A$300:A$325,MATCH(I11,'V-Fin'!B$300:B$325,0)),"")</f>
        <v>14</v>
      </c>
      <c r="AJ11" s="214">
        <f t="shared" si="5"/>
        <v>10</v>
      </c>
      <c r="AK11" s="212">
        <f>IFERROR(IF(V11+1&gt;LARGE(V$7:V$66,1)-2,1),0)+IFERROR(IF(W11+1&gt;LARGE(W$7:W$66,1)-2,1),0)+IFERROR(IF(X11+1&gt;LARGE(X$7:X$66,1)-2,1),0)+IFERROR(IF(Y11+1&gt;LARGE(Y$7:Y$66,1)-2,1),0)+IFERROR(IF(Z11+1&gt;LARGE(Z$7:Z$66,1)-2,1),0)+IFERROR(IF(AA11+1&gt;LARGE(AA$7:AA$66,1)-2,1),0)+IFERROR(IF(AB11+1&gt;LARGE(AB$7:AB$66,1)-2,1),0)+IFERROR(IF(AC11+1&gt;LARGE(AC$7:AC$66,1)-2,1),0)+IFERROR(IF(AD11+1&gt;LARGE(AD$7:AD$66,1)-2,1),0)+IFERROR(IF(AE11+1&gt;LARGE(AE$7:AE$66,1)-2,1),0)</f>
        <v>2</v>
      </c>
      <c r="AL11" s="212">
        <f>IF(V11=0,0,IF(V11=IFERROR(LARGE(V$7:V$66,1),0),1,0))+IF(W11=0,0,IF(W11=IFERROR(LARGE(W$7:W$66,1),0),1,0))+IF(X11=0,0,IF(X11=IFERROR(LARGE(X$7:X$66,1),0),1,0))+IF(Y11=0,0,IF(Y11=IFERROR(LARGE(Y$7:Y$66,1),0),1,0))+IF(Z11=0,0,IF(Z11=IFERROR(LARGE(Z$7:Z$66,1),0),1,0))+IF(AA11=0,0,IF(AA11=IFERROR(LARGE(AA$7:AA$66,1),0),1,0))+IF(AB11=0,0,IF(AB11=IFERROR(LARGE(AB$7:AB$66,1),0),1,0))+IF(AC11=0,0,IF(AC11=IFERROR(LARGE(AC$7:AC$66,1),0),1,0))+IF(AD11=0,0,IF(AD11=IFERROR(LARGE(AD$7:AD$66,1),0),1,0))+IF(AE11=0,0,IF(AE11=IFERROR(LARGE(AE$7:AE$66,1),0),1,0))</f>
        <v>0</v>
      </c>
    </row>
    <row r="12" spans="1:38" x14ac:dyDescent="0.2">
      <c r="A12" s="1026" t="str">
        <f>IF(M12="k",RANK(B12,B$7:B$66,0),"")</f>
        <v/>
      </c>
      <c r="B12" s="266">
        <f t="shared" si="0"/>
        <v>0</v>
      </c>
      <c r="C12" s="944"/>
      <c r="D12" s="1033">
        <f>IF(J12="n",RANK(E12,E$7:E$66,0),"")</f>
        <v>1</v>
      </c>
      <c r="E12" s="1028">
        <f t="shared" si="6"/>
        <v>10072</v>
      </c>
      <c r="F12" s="1025" t="str">
        <f>IF(K12="j",RANK(G12,G$7:G$66,0),"")</f>
        <v/>
      </c>
      <c r="G12" s="266">
        <f t="shared" si="7"/>
        <v>0</v>
      </c>
      <c r="H12" s="209">
        <f>IF(N12&gt;0,RANK(Q12,Q$7:Q$66,1),"")</f>
        <v>6</v>
      </c>
      <c r="I12" s="213" t="s">
        <v>126</v>
      </c>
      <c r="J12" s="269" t="s">
        <v>137</v>
      </c>
      <c r="K12" s="270"/>
      <c r="L12" s="1382" t="s">
        <v>647</v>
      </c>
      <c r="M12" s="274"/>
      <c r="N12" s="1019">
        <f t="shared" si="1"/>
        <v>72</v>
      </c>
      <c r="O12" s="268" t="str">
        <f>INDEX(ETAPP!B$1:B$32,MATCH(COUNTIF(V12:AE12,PVO!A$1),ETAPP!A$1:A$32,0))&amp;INDEX(ETAPP!B$1:B$32,MATCH(COUNTIF(V12:AE12,PVO!A$2),ETAPP!A$1:A$32,0))&amp;INDEX(ETAPP!B$1:B$32,MATCH(COUNTIF(V12:AE12,PVO!A$3),ETAPP!A$1:A$32,0))&amp;INDEX(ETAPP!B$1:B$32,MATCH(COUNTIF(V12:AE12,PVO!A$4),ETAPP!A$1:A$32,0))&amp;INDEX(ETAPP!B$1:B$32,MATCH(COUNTIF(V12:AE12,PVO!A$5),ETAPP!A$1:A$32,0))&amp;INDEX(ETAPP!B$1:B$32,MATCH(COUNTIF(V12:AE12,PVO!A$6),ETAPP!A$1:A$32,0))&amp;INDEX(ETAPP!B$1:B$32,MATCH(COUNTIF(V12:AE12,PVO!A$7),ETAPP!A$1:A$32,0))&amp;INDEX(ETAPP!B$1:B$32,MATCH(COUNTIF(V12:AE12,PVO!A$8),ETAPP!A$1:A$32,0))&amp;INDEX(ETAPP!B$1:B$32,MATCH(COUNTIF(V12:AE12,PVO!A$9),ETAPP!A$1:A$32,0))&amp;INDEX(ETAPP!B$1:B$32,MATCH(COUNTIF(V12:AE12,PVO!A$10),ETAPP!A$1:A$32,0))&amp;INDEX(ETAPP!B$1:B$32,MATCH(COUNTIF(V12:AE12,PVO!A$11),ETAPP!A$1:A$32,0))&amp;INDEX(ETAPP!B$1:B$32,MATCH(COUNTIF(V12:AE12,PVO!A$12),ETAPP!A$1:A$32,0))&amp;INDEX(ETAPP!B$1:B$32,MATCH(COUNTIF(V12:AE12,PVO!A$13),ETAPP!A$1:A$32,0))&amp;INDEX(ETAPP!B$1:B$32,MATCH(COUNTIF(V12:AE12,PVO!A$14),ETAPP!A$1:A$32,0))&amp;INDEX(ETAPP!B$1:B$32,MATCH(COUNTIF(V12:AE12,PVO!A$15),ETAPP!A$1:A$32,0))&amp;INDEX(ETAPP!B$1:B$32,MATCH(COUNTIF(V12:AE12,PVO!A$16),ETAPP!A$1:A$32,0))&amp;INDEX(ETAPP!B$1:B$32,MATCH(COUNTIF(V12:AE12,PVO!A$17),ETAPP!A$1:A$32,0))&amp;INDEX(ETAPP!B$1:B$32,MATCH(COUNTIF(V12:AE12,PVO!A$18),ETAPP!A$1:A$32,0))&amp;INDEX(ETAPP!B$1:B$32,MATCH(COUNTIF(V12:AE12,PVO!A$19),ETAPP!A$1:A$32,0))&amp;INDEX(ETAPP!B$1:B$32,MATCH(COUNTIF(V12:AE12,PVO!A$20),ETAPP!A$1:A$32,0))&amp;INDEX(ETAPP!B$1:B$32,MATCH(COUNTIF(V12:AE12,PVO!A$21),ETAPP!A$1:A$32,0))&amp;INDEX(ETAPP!B$1:B$32,MATCH(COUNTIF(V12:AE12,PVO!A$22),ETAPP!A$1:A$32,0))</f>
        <v>000000000A0B0C0000000B</v>
      </c>
      <c r="P12" s="268" t="str">
        <f t="shared" si="2"/>
        <v>072,0-000000000A0B0C0000000B</v>
      </c>
      <c r="Q12" s="268">
        <f>COUNTIF(P$7:P$66,"&gt;="&amp;P12)</f>
        <v>6</v>
      </c>
      <c r="R12" s="268">
        <f>COUNTIF(I$7:I$66,"&gt;="&amp;I12)</f>
        <v>22</v>
      </c>
      <c r="S12" s="268" t="str">
        <f t="shared" si="3"/>
        <v>072,0-000000000A0B0C0000000B-022</v>
      </c>
      <c r="T12" s="268">
        <f>COUNTIF(S$7:S$66,"&gt;="&amp;S12)</f>
        <v>6</v>
      </c>
      <c r="U12" s="832">
        <f>RANK(T12,T$7:T$66,0)</f>
        <v>55</v>
      </c>
      <c r="V12" s="210">
        <f>IFERROR(INDEX('V1'!C$300:C$400,MATCH("*"&amp;I12&amp;"*",'V1'!B$300:B$400,0)),"  ")</f>
        <v>11</v>
      </c>
      <c r="W12" s="210">
        <f>IFERROR(INDEX('V2'!C$300:C$400,MATCH("*"&amp;I12&amp;"*",'V2'!B$300:B$400,0)),"  ")</f>
        <v>9</v>
      </c>
      <c r="X12" s="210">
        <f>IFERROR(INDEX('V3'!C$300:C$400,MATCH("*"&amp;I12&amp;"*",'V3'!B$300:B$400,0)),"  ")</f>
        <v>9</v>
      </c>
      <c r="Y12" s="210">
        <f>IFERROR(INDEX('V4'!C$300:C$400,MATCH("*"&amp;I12&amp;"*",'V4'!B$300:B$400,0)),"  ")</f>
        <v>7</v>
      </c>
      <c r="Z12" s="210">
        <f>IFERROR(INDEX('V5'!C$300:C$400,MATCH("*"&amp;I12&amp;"*",'V5'!B$300:B$400,0)),"  ")</f>
        <v>7</v>
      </c>
      <c r="AA12" s="210">
        <f>IFERROR(INDEX('V6'!C$300:C$400,MATCH("*"&amp;I12&amp;"*",'V6'!B$300:B$400,0)),"  ")</f>
        <v>13.5</v>
      </c>
      <c r="AB12" s="210">
        <f>IFERROR(INDEX('V7'!C$300:C$400,MATCH("*"&amp;I12&amp;"*",'V7'!B$300:B$400,0)),"  ")</f>
        <v>8.5</v>
      </c>
      <c r="AC12" s="210">
        <f>IFERROR(INDEX('V8'!C$300:C$400,MATCH("*"&amp;I12&amp;"*",'V8'!B$300:B$400,0)),"  ")</f>
        <v>7</v>
      </c>
      <c r="AD12" s="210" t="str">
        <f>IFERROR(INDEX('V9'!C$300:C$400,MATCH("*"&amp;I12&amp;"*",'V9'!B$300:B$400,0)),"  ")</f>
        <v xml:space="preserve">  </v>
      </c>
      <c r="AE12" s="210" t="str">
        <f>IFERROR(INDEX('V10'!C$300:C$400,MATCH("*"&amp;I12&amp;"*",'V10'!B$300:B$400,0)),"  ")</f>
        <v xml:space="preserve">  </v>
      </c>
      <c r="AF12" s="211">
        <f t="shared" si="4"/>
        <v>1</v>
      </c>
      <c r="AG12" s="211">
        <f t="shared" si="8"/>
        <v>55</v>
      </c>
      <c r="AH12" s="1362" t="str">
        <f>IFERROR(IF(COUNTIF(V12:AE12,"&gt;0")&gt;=3,"edasi ","puudu "&amp;3-COUNT(V12:AE12))&amp;IF(OR(COUNTIF(V12:AE12,"&gt;0")&lt;3,COUNTIF(AE$7:AE$66,"&gt;0")=0),"",RANK(AG12,AG$7:AG$66,0)),"")</f>
        <v>edasi 6</v>
      </c>
      <c r="AI12" s="959">
        <f>IFERROR(INDEX('V-Fin'!A$300:A$325,MATCH(I12,'V-Fin'!B$300:B$325,0)),"")</f>
        <v>18</v>
      </c>
      <c r="AJ12" s="214">
        <f t="shared" si="5"/>
        <v>8</v>
      </c>
      <c r="AK12" s="212">
        <f>IFERROR(IF(V12+1&gt;LARGE(V$7:V$66,1)-2,1),0)+IFERROR(IF(W12+1&gt;LARGE(W$7:W$66,1)-2,1),0)+IFERROR(IF(X12+1&gt;LARGE(X$7:X$66,1)-2,1),0)+IFERROR(IF(Y12+1&gt;LARGE(Y$7:Y$66,1)-2,1),0)+IFERROR(IF(Z12+1&gt;LARGE(Z$7:Z$66,1)-2,1),0)+IFERROR(IF(AA12+1&gt;LARGE(AA$7:AA$66,1)-2,1),0)+IFERROR(IF(AB12+1&gt;LARGE(AB$7:AB$66,1)-2,1),0)+IFERROR(IF(AC12+1&gt;LARGE(AC$7:AC$66,1)-2,1),0)+IFERROR(IF(AD12+1&gt;LARGE(AD$7:AD$66,1)-2,1),0)+IFERROR(IF(AE12+1&gt;LARGE(AE$7:AE$66,1)-2,1),0)</f>
        <v>3</v>
      </c>
      <c r="AL12" s="212">
        <f>IF(V12=0,0,IF(V12=IFERROR(LARGE(V$7:V$66,1),0),1,0))+IF(W12=0,0,IF(W12=IFERROR(LARGE(W$7:W$66,1),0),1,0))+IF(X12=0,0,IF(X12=IFERROR(LARGE(X$7:X$66,1),0),1,0))+IF(Y12=0,0,IF(Y12=IFERROR(LARGE(Y$7:Y$66,1),0),1,0))+IF(Z12=0,0,IF(Z12=IFERROR(LARGE(Z$7:Z$66,1),0),1,0))+IF(AA12=0,0,IF(AA12=IFERROR(LARGE(AA$7:AA$66,1),0),1,0))+IF(AB12=0,0,IF(AB12=IFERROR(LARGE(AB$7:AB$66,1),0),1,0))+IF(AC12=0,0,IF(AC12=IFERROR(LARGE(AC$7:AC$66,1),0),1,0))+IF(AD12=0,0,IF(AD12=IFERROR(LARGE(AD$7:AD$66,1),0),1,0))+IF(AE12=0,0,IF(AE12=IFERROR(LARGE(AE$7:AE$66,1),0),1,0))</f>
        <v>0</v>
      </c>
    </row>
    <row r="13" spans="1:38" x14ac:dyDescent="0.2">
      <c r="A13" s="1026">
        <f>IF(M13="k",RANK(B13,B$7:B$66,0),"")</f>
        <v>3</v>
      </c>
      <c r="B13" s="266">
        <f t="shared" si="0"/>
        <v>10067.5</v>
      </c>
      <c r="C13" s="944"/>
      <c r="D13" s="1029" t="str">
        <f>IF(J13="n",RANK(E13,E$7:E$66,0),"")</f>
        <v/>
      </c>
      <c r="E13" s="1028">
        <f t="shared" si="6"/>
        <v>0</v>
      </c>
      <c r="F13" s="1025" t="str">
        <f>IF(K13="j",RANK(G13,G$7:G$66,0),"")</f>
        <v/>
      </c>
      <c r="G13" s="266">
        <f t="shared" si="7"/>
        <v>0</v>
      </c>
      <c r="H13" s="209">
        <f>IF(N13&gt;0,RANK(Q13,Q$7:Q$66,1),"")</f>
        <v>7</v>
      </c>
      <c r="I13" s="267" t="s">
        <v>207</v>
      </c>
      <c r="J13" s="269"/>
      <c r="K13" s="270"/>
      <c r="L13" s="1382" t="s">
        <v>647</v>
      </c>
      <c r="M13" s="274" t="s">
        <v>187</v>
      </c>
      <c r="N13" s="1019">
        <f t="shared" si="1"/>
        <v>67.5</v>
      </c>
      <c r="O13" s="268" t="str">
        <f>INDEX(ETAPP!B$1:B$32,MATCH(COUNTIF(V13:AE13,PVO!A$1),ETAPP!A$1:A$32,0))&amp;INDEX(ETAPP!B$1:B$32,MATCH(COUNTIF(V13:AE13,PVO!A$2),ETAPP!A$1:A$32,0))&amp;INDEX(ETAPP!B$1:B$32,MATCH(COUNTIF(V13:AE13,PVO!A$3),ETAPP!A$1:A$32,0))&amp;INDEX(ETAPP!B$1:B$32,MATCH(COUNTIF(V13:AE13,PVO!A$4),ETAPP!A$1:A$32,0))&amp;INDEX(ETAPP!B$1:B$32,MATCH(COUNTIF(V13:AE13,PVO!A$5),ETAPP!A$1:A$32,0))&amp;INDEX(ETAPP!B$1:B$32,MATCH(COUNTIF(V13:AE13,PVO!A$6),ETAPP!A$1:A$32,0))&amp;INDEX(ETAPP!B$1:B$32,MATCH(COUNTIF(V13:AE13,PVO!A$7),ETAPP!A$1:A$32,0))&amp;INDEX(ETAPP!B$1:B$32,MATCH(COUNTIF(V13:AE13,PVO!A$8),ETAPP!A$1:A$32,0))&amp;INDEX(ETAPP!B$1:B$32,MATCH(COUNTIF(V13:AE13,PVO!A$9),ETAPP!A$1:A$32,0))&amp;INDEX(ETAPP!B$1:B$32,MATCH(COUNTIF(V13:AE13,PVO!A$10),ETAPP!A$1:A$32,0))&amp;INDEX(ETAPP!B$1:B$32,MATCH(COUNTIF(V13:AE13,PVO!A$11),ETAPP!A$1:A$32,0))&amp;INDEX(ETAPP!B$1:B$32,MATCH(COUNTIF(V13:AE13,PVO!A$12),ETAPP!A$1:A$32,0))&amp;INDEX(ETAPP!B$1:B$32,MATCH(COUNTIF(V13:AE13,PVO!A$13),ETAPP!A$1:A$32,0))&amp;INDEX(ETAPP!B$1:B$32,MATCH(COUNTIF(V13:AE13,PVO!A$14),ETAPP!A$1:A$32,0))&amp;INDEX(ETAPP!B$1:B$32,MATCH(COUNTIF(V13:AE13,PVO!A$15),ETAPP!A$1:A$32,0))&amp;INDEX(ETAPP!B$1:B$32,MATCH(COUNTIF(V13:AE13,PVO!A$16),ETAPP!A$1:A$32,0))&amp;INDEX(ETAPP!B$1:B$32,MATCH(COUNTIF(V13:AE13,PVO!A$17),ETAPP!A$1:A$32,0))&amp;INDEX(ETAPP!B$1:B$32,MATCH(COUNTIF(V13:AE13,PVO!A$18),ETAPP!A$1:A$32,0))&amp;INDEX(ETAPP!B$1:B$32,MATCH(COUNTIF(V13:AE13,PVO!A$19),ETAPP!A$1:A$32,0))&amp;INDEX(ETAPP!B$1:B$32,MATCH(COUNTIF(V13:AE13,PVO!A$20),ETAPP!A$1:A$32,0))&amp;INDEX(ETAPP!B$1:B$32,MATCH(COUNTIF(V13:AE13,PVO!A$21),ETAPP!A$1:A$32,0))&amp;INDEX(ETAPP!B$1:B$32,MATCH(COUNTIF(V13:AE13,PVO!A$22),ETAPP!A$1:A$32,0))</f>
        <v>00000A000A0AAAA0000C00</v>
      </c>
      <c r="P13" s="268" t="str">
        <f t="shared" si="2"/>
        <v>067,5-00000A000A0AAAA0000C00</v>
      </c>
      <c r="Q13" s="268">
        <f>COUNTIF(P$7:P$66,"&gt;="&amp;P13)</f>
        <v>7</v>
      </c>
      <c r="R13" s="268">
        <f>COUNTIF(I$7:I$66,"&gt;="&amp;I13)</f>
        <v>7</v>
      </c>
      <c r="S13" s="268" t="str">
        <f t="shared" si="3"/>
        <v>067,5-00000A000A0AAAA0000C00-007</v>
      </c>
      <c r="T13" s="268">
        <f>COUNTIF(S$7:S$66,"&gt;="&amp;S13)</f>
        <v>7</v>
      </c>
      <c r="U13" s="832">
        <f>RANK(T13,T$7:T$66,0)</f>
        <v>54</v>
      </c>
      <c r="V13" s="210">
        <f>IFERROR(INDEX('V1'!C$300:C$400,MATCH("*"&amp;I13&amp;"*",'V1'!B$300:B$400,0)),"  ")</f>
        <v>6</v>
      </c>
      <c r="W13" s="210">
        <f>IFERROR(INDEX('V2'!C$300:C$400,MATCH("*"&amp;I13&amp;"*",'V2'!B$300:B$400,0)),"  ")</f>
        <v>15</v>
      </c>
      <c r="X13" s="210">
        <f>IFERROR(INDEX('V3'!C$300:C$400,MATCH("*"&amp;I13&amp;"*",'V3'!B$300:B$400,0)),"  ")</f>
        <v>1</v>
      </c>
      <c r="Y13" s="210">
        <f>IFERROR(INDEX('V4'!C$300:C$400,MATCH("*"&amp;I13&amp;"*",'V4'!B$300:B$400,0)),"  ")</f>
        <v>8</v>
      </c>
      <c r="Z13" s="210">
        <f>IFERROR(INDEX('V5'!C$300:C$400,MATCH("*"&amp;I13&amp;"*",'V5'!B$300:B$400,0)),"  ")</f>
        <v>8.5</v>
      </c>
      <c r="AA13" s="210">
        <f>IFERROR(INDEX('V6'!C$300:C$400,MATCH("*"&amp;I13&amp;"*",'V6'!B$300:B$400,0)),"  ")</f>
        <v>9</v>
      </c>
      <c r="AB13" s="210">
        <f>IFERROR(INDEX('V7'!C$300:C$400,MATCH("*"&amp;I13&amp;"*",'V7'!B$300:B$400,0)),"  ")</f>
        <v>1</v>
      </c>
      <c r="AC13" s="210">
        <f>IFERROR(INDEX('V8'!C$300:C$400,MATCH("*"&amp;I13&amp;"*",'V8'!B$300:B$400,0)),"  ")</f>
        <v>1</v>
      </c>
      <c r="AD13" s="210">
        <f>IFERROR(INDEX('V9'!C$300:C$400,MATCH("*"&amp;I13&amp;"*",'V9'!B$300:B$400,0)),"  ")</f>
        <v>7</v>
      </c>
      <c r="AE13" s="210">
        <f>IFERROR(INDEX('V10'!C$300:C$400,MATCH("*"&amp;I13&amp;"*",'V10'!B$300:B$400,0)),"  ")</f>
        <v>11</v>
      </c>
      <c r="AF13" s="211">
        <f t="shared" si="4"/>
        <v>1</v>
      </c>
      <c r="AG13" s="211">
        <f t="shared" si="8"/>
        <v>54</v>
      </c>
      <c r="AH13" s="1362" t="str">
        <f>IFERROR(IF(COUNTIF(V13:AE13,"&gt;0")&gt;=3,"edasi ","puudu "&amp;3-COUNT(V13:AE13))&amp;IF(OR(COUNTIF(V13:AE13,"&gt;0")&lt;3,COUNTIF(AE$7:AE$66,"&gt;0")=0),"",RANK(AG13,AG$7:AG$66,0)),"")</f>
        <v>edasi 7</v>
      </c>
      <c r="AI13" s="959">
        <f>IFERROR(INDEX('V-Fin'!A$300:A$325,MATCH(I13,'V-Fin'!B$300:B$325,0)),"")</f>
        <v>25</v>
      </c>
      <c r="AJ13" s="214">
        <f t="shared" si="5"/>
        <v>10</v>
      </c>
      <c r="AK13" s="212">
        <f>IFERROR(IF(V13+1&gt;LARGE(V$7:V$66,1)-2,1),0)+IFERROR(IF(W13+1&gt;LARGE(W$7:W$66,1)-2,1),0)+IFERROR(IF(X13+1&gt;LARGE(X$7:X$66,1)-2,1),0)+IFERROR(IF(Y13+1&gt;LARGE(Y$7:Y$66,1)-2,1),0)+IFERROR(IF(Z13+1&gt;LARGE(Z$7:Z$66,1)-2,1),0)+IFERROR(IF(AA13+1&gt;LARGE(AA$7:AA$66,1)-2,1),0)+IFERROR(IF(AB13+1&gt;LARGE(AB$7:AB$66,1)-2,1),0)+IFERROR(IF(AC13+1&gt;LARGE(AC$7:AC$66,1)-2,1),0)+IFERROR(IF(AD13+1&gt;LARGE(AD$7:AD$66,1)-2,1),0)+IFERROR(IF(AE13+1&gt;LARGE(AE$7:AE$66,1)-2,1),0)</f>
        <v>2</v>
      </c>
      <c r="AL13" s="212">
        <f>IF(V13=0,0,IF(V13=IFERROR(LARGE(V$7:V$66,1),0),1,0))+IF(W13=0,0,IF(W13=IFERROR(LARGE(W$7:W$66,1),0),1,0))+IF(X13=0,0,IF(X13=IFERROR(LARGE(X$7:X$66,1),0),1,0))+IF(Y13=0,0,IF(Y13=IFERROR(LARGE(Y$7:Y$66,1),0),1,0))+IF(Z13=0,0,IF(Z13=IFERROR(LARGE(Z$7:Z$66,1),0),1,0))+IF(AA13=0,0,IF(AA13=IFERROR(LARGE(AA$7:AA$66,1),0),1,0))+IF(AB13=0,0,IF(AB13=IFERROR(LARGE(AB$7:AB$66,1),0),1,0))+IF(AC13=0,0,IF(AC13=IFERROR(LARGE(AC$7:AC$66,1),0),1,0))+IF(AD13=0,0,IF(AD13=IFERROR(LARGE(AD$7:AD$66,1),0),1,0))+IF(AE13=0,0,IF(AE13=IFERROR(LARGE(AE$7:AE$66,1),0),1,0))</f>
        <v>1</v>
      </c>
    </row>
    <row r="14" spans="1:38" x14ac:dyDescent="0.2">
      <c r="A14" s="1026" t="str">
        <f>IF(M14="k",RANK(B14,B$7:B$66,0),"")</f>
        <v/>
      </c>
      <c r="B14" s="266">
        <f t="shared" si="0"/>
        <v>0</v>
      </c>
      <c r="C14" s="944"/>
      <c r="D14" s="1029" t="str">
        <f>IF(J14="n",RANK(E14,E$7:E$66,0),"")</f>
        <v/>
      </c>
      <c r="E14" s="1028">
        <f t="shared" si="6"/>
        <v>0</v>
      </c>
      <c r="F14" s="1025" t="str">
        <f>IF(K14="j",RANK(G14,G$7:G$66,0),"")</f>
        <v/>
      </c>
      <c r="G14" s="266">
        <f t="shared" si="7"/>
        <v>0</v>
      </c>
      <c r="H14" s="209">
        <f>IF(N14&gt;0,RANK(Q14,Q$7:Q$66,1),"")</f>
        <v>8</v>
      </c>
      <c r="I14" s="213" t="s">
        <v>95</v>
      </c>
      <c r="J14" s="269"/>
      <c r="K14" s="270"/>
      <c r="L14" s="1381"/>
      <c r="M14" s="274"/>
      <c r="N14" s="1019">
        <f t="shared" si="1"/>
        <v>65</v>
      </c>
      <c r="O14" s="268" t="str">
        <f>INDEX(ETAPP!B$1:B$32,MATCH(COUNTIF(V14:AE14,PVO!A$1),ETAPP!A$1:A$32,0))&amp;INDEX(ETAPP!B$1:B$32,MATCH(COUNTIF(V14:AE14,PVO!A$2),ETAPP!A$1:A$32,0))&amp;INDEX(ETAPP!B$1:B$32,MATCH(COUNTIF(V14:AE14,PVO!A$3),ETAPP!A$1:A$32,0))&amp;INDEX(ETAPP!B$1:B$32,MATCH(COUNTIF(V14:AE14,PVO!A$4),ETAPP!A$1:A$32,0))&amp;INDEX(ETAPP!B$1:B$32,MATCH(COUNTIF(V14:AE14,PVO!A$5),ETAPP!A$1:A$32,0))&amp;INDEX(ETAPP!B$1:B$32,MATCH(COUNTIF(V14:AE14,PVO!A$6),ETAPP!A$1:A$32,0))&amp;INDEX(ETAPP!B$1:B$32,MATCH(COUNTIF(V14:AE14,PVO!A$7),ETAPP!A$1:A$32,0))&amp;INDEX(ETAPP!B$1:B$32,MATCH(COUNTIF(V14:AE14,PVO!A$8),ETAPP!A$1:A$32,0))&amp;INDEX(ETAPP!B$1:B$32,MATCH(COUNTIF(V14:AE14,PVO!A$9),ETAPP!A$1:A$32,0))&amp;INDEX(ETAPP!B$1:B$32,MATCH(COUNTIF(V14:AE14,PVO!A$10),ETAPP!A$1:A$32,0))&amp;INDEX(ETAPP!B$1:B$32,MATCH(COUNTIF(V14:AE14,PVO!A$11),ETAPP!A$1:A$32,0))&amp;INDEX(ETAPP!B$1:B$32,MATCH(COUNTIF(V14:AE14,PVO!A$12),ETAPP!A$1:A$32,0))&amp;INDEX(ETAPP!B$1:B$32,MATCH(COUNTIF(V14:AE14,PVO!A$13),ETAPP!A$1:A$32,0))&amp;INDEX(ETAPP!B$1:B$32,MATCH(COUNTIF(V14:AE14,PVO!A$14),ETAPP!A$1:A$32,0))&amp;INDEX(ETAPP!B$1:B$32,MATCH(COUNTIF(V14:AE14,PVO!A$15),ETAPP!A$1:A$32,0))&amp;INDEX(ETAPP!B$1:B$32,MATCH(COUNTIF(V14:AE14,PVO!A$16),ETAPP!A$1:A$32,0))&amp;INDEX(ETAPP!B$1:B$32,MATCH(COUNTIF(V14:AE14,PVO!A$17),ETAPP!A$1:A$32,0))&amp;INDEX(ETAPP!B$1:B$32,MATCH(COUNTIF(V14:AE14,PVO!A$18),ETAPP!A$1:A$32,0))&amp;INDEX(ETAPP!B$1:B$32,MATCH(COUNTIF(V14:AE14,PVO!A$19),ETAPP!A$1:A$32,0))&amp;INDEX(ETAPP!B$1:B$32,MATCH(COUNTIF(V14:AE14,PVO!A$20),ETAPP!A$1:A$32,0))&amp;INDEX(ETAPP!B$1:B$32,MATCH(COUNTIF(V14:AE14,PVO!A$21),ETAPP!A$1:A$32,0))&amp;INDEX(ETAPP!B$1:B$32,MATCH(COUNTIF(V14:AE14,PVO!A$22),ETAPP!A$1:A$32,0))</f>
        <v>0000000B0A00A00000000D</v>
      </c>
      <c r="P14" s="268" t="str">
        <f t="shared" si="2"/>
        <v>065,0-0000000B0A00A00000000D</v>
      </c>
      <c r="Q14" s="268">
        <f>COUNTIF(P$7:P$66,"&gt;="&amp;P14)</f>
        <v>8</v>
      </c>
      <c r="R14" s="268">
        <f>COUNTIF(I$7:I$66,"&gt;="&amp;I14)</f>
        <v>53</v>
      </c>
      <c r="S14" s="268" t="str">
        <f t="shared" si="3"/>
        <v>065,0-0000000B0A00A00000000D-053</v>
      </c>
      <c r="T14" s="268">
        <f>COUNTIF(S$7:S$66,"&gt;="&amp;S14)</f>
        <v>8</v>
      </c>
      <c r="U14" s="832">
        <f>RANK(T14,T$7:T$66,0)</f>
        <v>53</v>
      </c>
      <c r="V14" s="210" t="str">
        <f>IFERROR(INDEX('V1'!C$300:C$400,MATCH("*"&amp;I14&amp;"*",'V1'!B$300:B$400,0)),"  ")</f>
        <v xml:space="preserve">  </v>
      </c>
      <c r="W14" s="210" t="str">
        <f>IFERROR(INDEX('V2'!C$300:C$400,MATCH("*"&amp;I14&amp;"*",'V2'!B$300:B$400,0)),"  ")</f>
        <v xml:space="preserve">  </v>
      </c>
      <c r="X14" s="210" t="str">
        <f>IFERROR(INDEX('V3'!C$300:C$400,MATCH("*"&amp;I14&amp;"*",'V3'!B$300:B$400,0)),"  ")</f>
        <v xml:space="preserve">  </v>
      </c>
      <c r="Y14" s="210">
        <f>IFERROR(INDEX('V4'!C$300:C$400,MATCH("*"&amp;I14&amp;"*",'V4'!B$300:B$400,0)),"  ")</f>
        <v>13</v>
      </c>
      <c r="Z14" s="210">
        <f>IFERROR(INDEX('V5'!C$300:C$400,MATCH("*"&amp;I14&amp;"*",'V5'!B$300:B$400,0)),"  ")</f>
        <v>11.5</v>
      </c>
      <c r="AA14" s="210" t="str">
        <f>IFERROR(INDEX('V6'!C$300:C$400,MATCH("*"&amp;I14&amp;"*",'V6'!B$300:B$400,0)),"  ")</f>
        <v xml:space="preserve">  </v>
      </c>
      <c r="AB14" s="210">
        <f>IFERROR(INDEX('V7'!C$300:C$400,MATCH("*"&amp;I14&amp;"*",'V7'!B$300:B$400,0)),"  ")</f>
        <v>8.5</v>
      </c>
      <c r="AC14" s="210">
        <f>IFERROR(INDEX('V8'!C$300:C$400,MATCH("*"&amp;I14&amp;"*",'V8'!B$300:B$400,0)),"  ")</f>
        <v>8</v>
      </c>
      <c r="AD14" s="210">
        <f>IFERROR(INDEX('V9'!C$300:C$400,MATCH("*"&amp;I14&amp;"*",'V9'!B$300:B$400,0)),"  ")</f>
        <v>13</v>
      </c>
      <c r="AE14" s="210">
        <f>IFERROR(INDEX('V10'!C$300:C$400,MATCH("*"&amp;I14&amp;"*",'V10'!B$300:B$400,0)),"  ")</f>
        <v>11</v>
      </c>
      <c r="AF14" s="211">
        <f t="shared" si="4"/>
        <v>1</v>
      </c>
      <c r="AG14" s="211">
        <f t="shared" si="8"/>
        <v>53</v>
      </c>
      <c r="AH14" s="1362" t="str">
        <f>IFERROR(IF(COUNTIF(V14:AE14,"&gt;0")&gt;=3,"edasi ","puudu "&amp;3-COUNT(V14:AE14))&amp;IF(OR(COUNTIF(V14:AE14,"&gt;0")&lt;3,COUNTIF(AE$7:AE$66,"&gt;0")=0),"",RANK(AG14,AG$7:AG$66,0)),"")</f>
        <v>edasi 8</v>
      </c>
      <c r="AI14" s="959">
        <f>IFERROR(INDEX('V-Fin'!A$300:A$325,MATCH(I14,'V-Fin'!B$300:B$325,0)),"")</f>
        <v>15</v>
      </c>
      <c r="AJ14" s="214">
        <f t="shared" si="5"/>
        <v>6</v>
      </c>
      <c r="AK14" s="212">
        <f>IFERROR(IF(V14+1&gt;LARGE(V$7:V$66,1)-2,1),0)+IFERROR(IF(W14+1&gt;LARGE(W$7:W$66,1)-2,1),0)+IFERROR(IF(X14+1&gt;LARGE(X$7:X$66,1)-2,1),0)+IFERROR(IF(Y14+1&gt;LARGE(Y$7:Y$66,1)-2,1),0)+IFERROR(IF(Z14+1&gt;LARGE(Z$7:Z$66,1)-2,1),0)+IFERROR(IF(AA14+1&gt;LARGE(AA$7:AA$66,1)-2,1),0)+IFERROR(IF(AB14+1&gt;LARGE(AB$7:AB$66,1)-2,1),0)+IFERROR(IF(AC14+1&gt;LARGE(AC$7:AC$66,1)-2,1),0)+IFERROR(IF(AD14+1&gt;LARGE(AD$7:AD$66,1)-2,1),0)+IFERROR(IF(AE14+1&gt;LARGE(AE$7:AE$66,1)-2,1),0)</f>
        <v>5</v>
      </c>
      <c r="AL14" s="212">
        <f>IF(V14=0,0,IF(V14=IFERROR(LARGE(V$7:V$66,1),0),1,0))+IF(W14=0,0,IF(W14=IFERROR(LARGE(W$7:W$66,1),0),1,0))+IF(X14=0,0,IF(X14=IFERROR(LARGE(X$7:X$66,1),0),1,0))+IF(Y14=0,0,IF(Y14=IFERROR(LARGE(Y$7:Y$66,1),0),1,0))+IF(Z14=0,0,IF(Z14=IFERROR(LARGE(Z$7:Z$66,1),0),1,0))+IF(AA14=0,0,IF(AA14=IFERROR(LARGE(AA$7:AA$66,1),0),1,0))+IF(AB14=0,0,IF(AB14=IFERROR(LARGE(AB$7:AB$66,1),0),1,0))+IF(AC14=0,0,IF(AC14=IFERROR(LARGE(AC$7:AC$66,1),0),1,0))+IF(AD14=0,0,IF(AD14=IFERROR(LARGE(AD$7:AD$66,1),0),1,0))+IF(AE14=0,0,IF(AE14=IFERROR(LARGE(AE$7:AE$66,1),0),1,0))</f>
        <v>2</v>
      </c>
    </row>
    <row r="15" spans="1:38" x14ac:dyDescent="0.2">
      <c r="A15" s="1026" t="str">
        <f>IF(M15="k",RANK(B15,B$7:B$66,0),"")</f>
        <v/>
      </c>
      <c r="B15" s="266">
        <f t="shared" si="0"/>
        <v>0</v>
      </c>
      <c r="C15" s="944"/>
      <c r="D15" s="1029" t="str">
        <f>IF(J15="n",RANK(E15,E$7:E$66,0),"")</f>
        <v/>
      </c>
      <c r="E15" s="1028">
        <f t="shared" si="6"/>
        <v>0</v>
      </c>
      <c r="F15" s="1025" t="str">
        <f>IF(K15="j",RANK(G15,G$7:G$66,0),"")</f>
        <v/>
      </c>
      <c r="G15" s="266">
        <f t="shared" si="7"/>
        <v>0</v>
      </c>
      <c r="H15" s="209">
        <f>IF(N15&gt;0,RANK(Q15,Q$7:Q$66,1),"")</f>
        <v>9</v>
      </c>
      <c r="I15" s="267" t="s">
        <v>103</v>
      </c>
      <c r="J15" s="269"/>
      <c r="K15" s="270"/>
      <c r="L15" s="1381"/>
      <c r="M15" s="274"/>
      <c r="N15" s="1019">
        <f t="shared" si="1"/>
        <v>65</v>
      </c>
      <c r="O15" s="268" t="str">
        <f>INDEX(ETAPP!B$1:B$32,MATCH(COUNTIF(V15:AE15,PVO!A$1),ETAPP!A$1:A$32,0))&amp;INDEX(ETAPP!B$1:B$32,MATCH(COUNTIF(V15:AE15,PVO!A$2),ETAPP!A$1:A$32,0))&amp;INDEX(ETAPP!B$1:B$32,MATCH(COUNTIF(V15:AE15,PVO!A$3),ETAPP!A$1:A$32,0))&amp;INDEX(ETAPP!B$1:B$32,MATCH(COUNTIF(V15:AE15,PVO!A$4),ETAPP!A$1:A$32,0))&amp;INDEX(ETAPP!B$1:B$32,MATCH(COUNTIF(V15:AE15,PVO!A$5),ETAPP!A$1:A$32,0))&amp;INDEX(ETAPP!B$1:B$32,MATCH(COUNTIF(V15:AE15,PVO!A$6),ETAPP!A$1:A$32,0))&amp;INDEX(ETAPP!B$1:B$32,MATCH(COUNTIF(V15:AE15,PVO!A$7),ETAPP!A$1:A$32,0))&amp;INDEX(ETAPP!B$1:B$32,MATCH(COUNTIF(V15:AE15,PVO!A$8),ETAPP!A$1:A$32,0))&amp;INDEX(ETAPP!B$1:B$32,MATCH(COUNTIF(V15:AE15,PVO!A$9),ETAPP!A$1:A$32,0))&amp;INDEX(ETAPP!B$1:B$32,MATCH(COUNTIF(V15:AE15,PVO!A$10),ETAPP!A$1:A$32,0))&amp;INDEX(ETAPP!B$1:B$32,MATCH(COUNTIF(V15:AE15,PVO!A$11),ETAPP!A$1:A$32,0))&amp;INDEX(ETAPP!B$1:B$32,MATCH(COUNTIF(V15:AE15,PVO!A$12),ETAPP!A$1:A$32,0))&amp;INDEX(ETAPP!B$1:B$32,MATCH(COUNTIF(V15:AE15,PVO!A$13),ETAPP!A$1:A$32,0))&amp;INDEX(ETAPP!B$1:B$32,MATCH(COUNTIF(V15:AE15,PVO!A$14),ETAPP!A$1:A$32,0))&amp;INDEX(ETAPP!B$1:B$32,MATCH(COUNTIF(V15:AE15,PVO!A$15),ETAPP!A$1:A$32,0))&amp;INDEX(ETAPP!B$1:B$32,MATCH(COUNTIF(V15:AE15,PVO!A$16),ETAPP!A$1:A$32,0))&amp;INDEX(ETAPP!B$1:B$32,MATCH(COUNTIF(V15:AE15,PVO!A$17),ETAPP!A$1:A$32,0))&amp;INDEX(ETAPP!B$1:B$32,MATCH(COUNTIF(V15:AE15,PVO!A$18),ETAPP!A$1:A$32,0))&amp;INDEX(ETAPP!B$1:B$32,MATCH(COUNTIF(V15:AE15,PVO!A$19),ETAPP!A$1:A$32,0))&amp;INDEX(ETAPP!B$1:B$32,MATCH(COUNTIF(V15:AE15,PVO!A$20),ETAPP!A$1:A$32,0))&amp;INDEX(ETAPP!B$1:B$32,MATCH(COUNTIF(V15:AE15,PVO!A$21),ETAPP!A$1:A$32,0))&amp;INDEX(ETAPP!B$1:B$32,MATCH(COUNTIF(V15:AE15,PVO!A$22),ETAPP!A$1:A$32,0))</f>
        <v>0000000AA0A000A000000D</v>
      </c>
      <c r="P15" s="268" t="str">
        <f t="shared" si="2"/>
        <v>065,0-0000000AA0A000A000000D</v>
      </c>
      <c r="Q15" s="268">
        <f>COUNTIF(P$7:P$66,"&gt;="&amp;P15)</f>
        <v>9</v>
      </c>
      <c r="R15" s="268">
        <f>COUNTIF(I$7:I$66,"&gt;="&amp;I15)</f>
        <v>9</v>
      </c>
      <c r="S15" s="268" t="str">
        <f t="shared" si="3"/>
        <v>065,0-0000000AA0A000A000000D-009</v>
      </c>
      <c r="T15" s="268">
        <f>COUNTIF(S$7:S$66,"&gt;="&amp;S15)</f>
        <v>9</v>
      </c>
      <c r="U15" s="832">
        <f>RANK(T15,T$7:T$66,0)</f>
        <v>52</v>
      </c>
      <c r="V15" s="210">
        <f>IFERROR(INDEX('V1'!C$300:C$400,MATCH("*"&amp;I15&amp;"*",'V1'!B$300:B$400,0)),"  ")</f>
        <v>12</v>
      </c>
      <c r="W15" s="210">
        <f>IFERROR(INDEX('V2'!C$300:C$400,MATCH("*"&amp;I15&amp;"*",'V2'!B$300:B$400,0)),"  ")</f>
        <v>10</v>
      </c>
      <c r="X15" s="210">
        <f>IFERROR(INDEX('V3'!C$300:C$400,MATCH("*"&amp;I15&amp;"*",'V3'!B$300:B$400,0)),"  ")</f>
        <v>12.5</v>
      </c>
      <c r="Y15" s="210">
        <f>IFERROR(INDEX('V4'!C$300:C$400,MATCH("*"&amp;I15&amp;"*",'V4'!B$300:B$400,0)),"  ")</f>
        <v>6</v>
      </c>
      <c r="Z15" s="210">
        <f>IFERROR(INDEX('V5'!C$300:C$400,MATCH("*"&amp;I15&amp;"*",'V5'!B$300:B$400,0)),"  ")</f>
        <v>11.5</v>
      </c>
      <c r="AA15" s="210" t="str">
        <f>IFERROR(INDEX('V6'!C$300:C$400,MATCH("*"&amp;I15&amp;"*",'V6'!B$300:B$400,0)),"  ")</f>
        <v xml:space="preserve">  </v>
      </c>
      <c r="AB15" s="210" t="str">
        <f>IFERROR(INDEX('V7'!C$300:C$400,MATCH("*"&amp;I15&amp;"*",'V7'!B$300:B$400,0)),"  ")</f>
        <v xml:space="preserve">  </v>
      </c>
      <c r="AC15" s="210" t="str">
        <f>IFERROR(INDEX('V8'!C$300:C$400,MATCH("*"&amp;I15&amp;"*",'V8'!B$300:B$400,0)),"  ")</f>
        <v xml:space="preserve">  </v>
      </c>
      <c r="AD15" s="210">
        <f>IFERROR(INDEX('V9'!C$300:C$400,MATCH("*"&amp;I15&amp;"*",'V9'!B$300:B$400,0)),"  ")</f>
        <v>13</v>
      </c>
      <c r="AE15" s="210" t="str">
        <f>IFERROR(INDEX('V10'!C$300:C$400,MATCH("*"&amp;I15&amp;"*",'V10'!B$300:B$400,0)),"  ")</f>
        <v xml:space="preserve">  </v>
      </c>
      <c r="AF15" s="211">
        <f t="shared" si="4"/>
        <v>1</v>
      </c>
      <c r="AG15" s="211">
        <f t="shared" si="8"/>
        <v>52</v>
      </c>
      <c r="AH15" s="1362" t="str">
        <f>IFERROR(IF(COUNTIF(V15:AE15,"&gt;0")&gt;=3,"edasi ","puudu "&amp;3-COUNT(V15:AE15))&amp;IF(OR(COUNTIF(V15:AE15,"&gt;0")&lt;3,COUNTIF(AE$7:AE$66,"&gt;0")=0),"",RANK(AG15,AG$7:AG$66,0)),"")</f>
        <v>edasi 9</v>
      </c>
      <c r="AI15" s="959" t="str">
        <f>IFERROR(INDEX('V-Fin'!A$300:A$325,MATCH(I15,'V-Fin'!B$300:B$325,0)),"")</f>
        <v/>
      </c>
      <c r="AJ15" s="214">
        <f t="shared" si="5"/>
        <v>6</v>
      </c>
      <c r="AK15" s="212">
        <f>IFERROR(IF(V15+1&gt;LARGE(V$7:V$66,1)-2,1),0)+IFERROR(IF(W15+1&gt;LARGE(W$7:W$66,1)-2,1),0)+IFERROR(IF(X15+1&gt;LARGE(X$7:X$66,1)-2,1),0)+IFERROR(IF(Y15+1&gt;LARGE(Y$7:Y$66,1)-2,1),0)+IFERROR(IF(Z15+1&gt;LARGE(Z$7:Z$66,1)-2,1),0)+IFERROR(IF(AA15+1&gt;LARGE(AA$7:AA$66,1)-2,1),0)+IFERROR(IF(AB15+1&gt;LARGE(AB$7:AB$66,1)-2,1),0)+IFERROR(IF(AC15+1&gt;LARGE(AC$7:AC$66,1)-2,1),0)+IFERROR(IF(AD15+1&gt;LARGE(AD$7:AD$66,1)-2,1),0)+IFERROR(IF(AE15+1&gt;LARGE(AE$7:AE$66,1)-2,1),0)</f>
        <v>4</v>
      </c>
      <c r="AL15" s="212">
        <f>IF(V15=0,0,IF(V15=IFERROR(LARGE(V$7:V$66,1),0),1,0))+IF(W15=0,0,IF(W15=IFERROR(LARGE(W$7:W$66,1),0),1,0))+IF(X15=0,0,IF(X15=IFERROR(LARGE(X$7:X$66,1),0),1,0))+IF(Y15=0,0,IF(Y15=IFERROR(LARGE(Y$7:Y$66,1),0),1,0))+IF(Z15=0,0,IF(Z15=IFERROR(LARGE(Z$7:Z$66,1),0),1,0))+IF(AA15=0,0,IF(AA15=IFERROR(LARGE(AA$7:AA$66,1),0),1,0))+IF(AB15=0,0,IF(AB15=IFERROR(LARGE(AB$7:AB$66,1),0),1,0))+IF(AC15=0,0,IF(AC15=IFERROR(LARGE(AC$7:AC$66,1),0),1,0))+IF(AD15=0,0,IF(AD15=IFERROR(LARGE(AD$7:AD$66,1),0),1,0))+IF(AE15=0,0,IF(AE15=IFERROR(LARGE(AE$7:AE$66,1),0),1,0))</f>
        <v>1</v>
      </c>
    </row>
    <row r="16" spans="1:38" x14ac:dyDescent="0.2">
      <c r="A16" s="1026" t="str">
        <f>IF(M16="k",RANK(B16,B$7:B$66,0),"")</f>
        <v/>
      </c>
      <c r="B16" s="266">
        <f t="shared" si="0"/>
        <v>0</v>
      </c>
      <c r="C16" s="944"/>
      <c r="D16" s="1029" t="str">
        <f>IF(J16="n",RANK(E16,E$7:E$66,0),"")</f>
        <v/>
      </c>
      <c r="E16" s="1028">
        <f t="shared" si="6"/>
        <v>0</v>
      </c>
      <c r="F16" s="1025" t="str">
        <f>IF(K16="j",RANK(G16,G$7:G$66,0),"")</f>
        <v/>
      </c>
      <c r="G16" s="266">
        <f t="shared" si="7"/>
        <v>0</v>
      </c>
      <c r="H16" s="209">
        <f>IF(N16&gt;0,RANK(Q16,Q$7:Q$66,1),"")</f>
        <v>10</v>
      </c>
      <c r="I16" s="213" t="s">
        <v>109</v>
      </c>
      <c r="J16" s="269"/>
      <c r="K16" s="270"/>
      <c r="L16" s="1382" t="s">
        <v>647</v>
      </c>
      <c r="M16" s="274"/>
      <c r="N16" s="1019">
        <f t="shared" si="1"/>
        <v>65</v>
      </c>
      <c r="O16" s="268" t="str">
        <f>INDEX(ETAPP!B$1:B$32,MATCH(COUNTIF(V16:AE16,PVO!A$1),ETAPP!A$1:A$32,0))&amp;INDEX(ETAPP!B$1:B$32,MATCH(COUNTIF(V16:AE16,PVO!A$2),ETAPP!A$1:A$32,0))&amp;INDEX(ETAPP!B$1:B$32,MATCH(COUNTIF(V16:AE16,PVO!A$3),ETAPP!A$1:A$32,0))&amp;INDEX(ETAPP!B$1:B$32,MATCH(COUNTIF(V16:AE16,PVO!A$4),ETAPP!A$1:A$32,0))&amp;INDEX(ETAPP!B$1:B$32,MATCH(COUNTIF(V16:AE16,PVO!A$5),ETAPP!A$1:A$32,0))&amp;INDEX(ETAPP!B$1:B$32,MATCH(COUNTIF(V16:AE16,PVO!A$6),ETAPP!A$1:A$32,0))&amp;INDEX(ETAPP!B$1:B$32,MATCH(COUNTIF(V16:AE16,PVO!A$7),ETAPP!A$1:A$32,0))&amp;INDEX(ETAPP!B$1:B$32,MATCH(COUNTIF(V16:AE16,PVO!A$8),ETAPP!A$1:A$32,0))&amp;INDEX(ETAPP!B$1:B$32,MATCH(COUNTIF(V16:AE16,PVO!A$9),ETAPP!A$1:A$32,0))&amp;INDEX(ETAPP!B$1:B$32,MATCH(COUNTIF(V16:AE16,PVO!A$10),ETAPP!A$1:A$32,0))&amp;INDEX(ETAPP!B$1:B$32,MATCH(COUNTIF(V16:AE16,PVO!A$11),ETAPP!A$1:A$32,0))&amp;INDEX(ETAPP!B$1:B$32,MATCH(COUNTIF(V16:AE16,PVO!A$12),ETAPP!A$1:A$32,0))&amp;INDEX(ETAPP!B$1:B$32,MATCH(COUNTIF(V16:AE16,PVO!A$13),ETAPP!A$1:A$32,0))&amp;INDEX(ETAPP!B$1:B$32,MATCH(COUNTIF(V16:AE16,PVO!A$14),ETAPP!A$1:A$32,0))&amp;INDEX(ETAPP!B$1:B$32,MATCH(COUNTIF(V16:AE16,PVO!A$15),ETAPP!A$1:A$32,0))&amp;INDEX(ETAPP!B$1:B$32,MATCH(COUNTIF(V16:AE16,PVO!A$16),ETAPP!A$1:A$32,0))&amp;INDEX(ETAPP!B$1:B$32,MATCH(COUNTIF(V16:AE16,PVO!A$17),ETAPP!A$1:A$32,0))&amp;INDEX(ETAPP!B$1:B$32,MATCH(COUNTIF(V16:AE16,PVO!A$18),ETAPP!A$1:A$32,0))&amp;INDEX(ETAPP!B$1:B$32,MATCH(COUNTIF(V16:AE16,PVO!A$19),ETAPP!A$1:A$32,0))&amp;INDEX(ETAPP!B$1:B$32,MATCH(COUNTIF(V16:AE16,PVO!A$20),ETAPP!A$1:A$32,0))&amp;INDEX(ETAPP!B$1:B$32,MATCH(COUNTIF(V16:AE16,PVO!A$21),ETAPP!A$1:A$32,0))&amp;INDEX(ETAPP!B$1:B$32,MATCH(COUNTIF(V16:AE16,PVO!A$22),ETAPP!A$1:A$32,0))</f>
        <v>000000000A0B0B0000000C</v>
      </c>
      <c r="P16" s="268" t="str">
        <f t="shared" si="2"/>
        <v>065,0-000000000A0B0B0000000C</v>
      </c>
      <c r="Q16" s="268">
        <f>COUNTIF(P$7:P$66,"&gt;="&amp;P16)</f>
        <v>10</v>
      </c>
      <c r="R16" s="268">
        <f>COUNTIF(I$7:I$66,"&gt;="&amp;I16)</f>
        <v>21</v>
      </c>
      <c r="S16" s="268" t="str">
        <f t="shared" si="3"/>
        <v>065,0-000000000A0B0B0000000C-021</v>
      </c>
      <c r="T16" s="268">
        <f>COUNTIF(S$7:S$66,"&gt;="&amp;S16)</f>
        <v>10</v>
      </c>
      <c r="U16" s="832">
        <f>RANK(T16,T$7:T$66,0)</f>
        <v>51</v>
      </c>
      <c r="V16" s="210">
        <f>IFERROR(INDEX('V1'!C$300:C$400,MATCH("*"&amp;I16&amp;"*",'V1'!B$300:B$400,0)),"  ")</f>
        <v>11</v>
      </c>
      <c r="W16" s="210">
        <f>IFERROR(INDEX('V2'!C$300:C$400,MATCH("*"&amp;I16&amp;"*",'V2'!B$300:B$400,0)),"  ")</f>
        <v>9</v>
      </c>
      <c r="X16" s="210">
        <f>IFERROR(INDEX('V3'!C$300:C$400,MATCH("*"&amp;I16&amp;"*",'V3'!B$300:B$400,0)),"  ")</f>
        <v>9</v>
      </c>
      <c r="Y16" s="210">
        <f>IFERROR(INDEX('V4'!C$300:C$400,MATCH("*"&amp;I16&amp;"*",'V4'!B$300:B$400,0)),"  ")</f>
        <v>7</v>
      </c>
      <c r="Z16" s="210">
        <f>IFERROR(INDEX('V5'!C$300:C$400,MATCH("*"&amp;I16&amp;"*",'V5'!B$300:B$400,0)),"  ")</f>
        <v>7</v>
      </c>
      <c r="AA16" s="210">
        <f>IFERROR(INDEX('V6'!C$300:C$400,MATCH("*"&amp;I16&amp;"*",'V6'!B$300:B$400,0)),"  ")</f>
        <v>13.5</v>
      </c>
      <c r="AB16" s="210">
        <f>IFERROR(INDEX('V7'!C$300:C$400,MATCH("*"&amp;I16&amp;"*",'V7'!B$300:B$400,0)),"  ")</f>
        <v>8.5</v>
      </c>
      <c r="AC16" s="210" t="str">
        <f>IFERROR(INDEX('V8'!C$300:C$400,MATCH("*"&amp;I16&amp;"*",'V8'!B$300:B$400,0)),"  ")</f>
        <v xml:space="preserve">  </v>
      </c>
      <c r="AD16" s="210" t="str">
        <f>IFERROR(INDEX('V9'!C$300:C$400,MATCH("*"&amp;I16&amp;"*",'V9'!B$300:B$400,0)),"  ")</f>
        <v xml:space="preserve">  </v>
      </c>
      <c r="AE16" s="210" t="str">
        <f>IFERROR(INDEX('V10'!C$300:C$400,MATCH("*"&amp;I16&amp;"*",'V10'!B$300:B$400,0)),"  ")</f>
        <v xml:space="preserve">  </v>
      </c>
      <c r="AF16" s="211">
        <f t="shared" si="4"/>
        <v>1</v>
      </c>
      <c r="AG16" s="211">
        <f t="shared" si="8"/>
        <v>51</v>
      </c>
      <c r="AH16" s="1362" t="str">
        <f>IFERROR(IF(COUNTIF(V16:AE16,"&gt;0")&gt;=3,"edasi ","puudu "&amp;3-COUNT(V16:AE16))&amp;IF(OR(COUNTIF(V16:AE16,"&gt;0")&lt;3,COUNTIF(AE$7:AE$66,"&gt;0")=0),"",RANK(AG16,AG$7:AG$66,0)),"")</f>
        <v>edasi 10</v>
      </c>
      <c r="AI16" s="961">
        <f>IFERROR(INDEX('V-Fin'!A$300:A$325,MATCH(I16,'V-Fin'!B$300:B$325,0)),"")</f>
        <v>1</v>
      </c>
      <c r="AJ16" s="214">
        <f t="shared" si="5"/>
        <v>7</v>
      </c>
      <c r="AK16" s="212">
        <f>IFERROR(IF(V16+1&gt;LARGE(V$7:V$66,1)-2,1),0)+IFERROR(IF(W16+1&gt;LARGE(W$7:W$66,1)-2,1),0)+IFERROR(IF(X16+1&gt;LARGE(X$7:X$66,1)-2,1),0)+IFERROR(IF(Y16+1&gt;LARGE(Y$7:Y$66,1)-2,1),0)+IFERROR(IF(Z16+1&gt;LARGE(Z$7:Z$66,1)-2,1),0)+IFERROR(IF(AA16+1&gt;LARGE(AA$7:AA$66,1)-2,1),0)+IFERROR(IF(AB16+1&gt;LARGE(AB$7:AB$66,1)-2,1),0)+IFERROR(IF(AC16+1&gt;LARGE(AC$7:AC$66,1)-2,1),0)+IFERROR(IF(AD16+1&gt;LARGE(AD$7:AD$66,1)-2,1),0)+IFERROR(IF(AE16+1&gt;LARGE(AE$7:AE$66,1)-2,1),0)</f>
        <v>3</v>
      </c>
      <c r="AL16" s="212">
        <f>IF(V16=0,0,IF(V16=IFERROR(LARGE(V$7:V$66,1),0),1,0))+IF(W16=0,0,IF(W16=IFERROR(LARGE(W$7:W$66,1),0),1,0))+IF(X16=0,0,IF(X16=IFERROR(LARGE(X$7:X$66,1),0),1,0))+IF(Y16=0,0,IF(Y16=IFERROR(LARGE(Y$7:Y$66,1),0),1,0))+IF(Z16=0,0,IF(Z16=IFERROR(LARGE(Z$7:Z$66,1),0),1,0))+IF(AA16=0,0,IF(AA16=IFERROR(LARGE(AA$7:AA$66,1),0),1,0))+IF(AB16=0,0,IF(AB16=IFERROR(LARGE(AB$7:AB$66,1),0),1,0))+IF(AC16=0,0,IF(AC16=IFERROR(LARGE(AC$7:AC$66,1),0),1,0))+IF(AD16=0,0,IF(AD16=IFERROR(LARGE(AD$7:AD$66,1),0),1,0))+IF(AE16=0,0,IF(AE16=IFERROR(LARGE(AE$7:AE$66,1),0),1,0))</f>
        <v>0</v>
      </c>
    </row>
    <row r="17" spans="1:38" x14ac:dyDescent="0.2">
      <c r="A17" s="1026">
        <f>IF(M17="k",RANK(B17,B$7:B$66,0),"")</f>
        <v>4</v>
      </c>
      <c r="B17" s="266">
        <f t="shared" si="0"/>
        <v>10060.5</v>
      </c>
      <c r="C17" s="944"/>
      <c r="D17" s="1029" t="str">
        <f>IF(J17="n",RANK(E17,E$7:E$66,0),"")</f>
        <v/>
      </c>
      <c r="E17" s="1028">
        <f t="shared" si="6"/>
        <v>0</v>
      </c>
      <c r="F17" s="1025" t="str">
        <f>IF(K17="j",RANK(G17,G$7:G$66,0),"")</f>
        <v/>
      </c>
      <c r="G17" s="266">
        <f t="shared" si="7"/>
        <v>0</v>
      </c>
      <c r="H17" s="209">
        <f>IF(N17&gt;0,RANK(Q17,Q$7:Q$66,1),"")</f>
        <v>11</v>
      </c>
      <c r="I17" s="213" t="s">
        <v>119</v>
      </c>
      <c r="J17" s="269"/>
      <c r="K17" s="270"/>
      <c r="L17" s="1381"/>
      <c r="M17" s="274" t="s">
        <v>187</v>
      </c>
      <c r="N17" s="1019">
        <f t="shared" si="1"/>
        <v>60.5</v>
      </c>
      <c r="O17" s="268" t="str">
        <f>INDEX(ETAPP!B$1:B$32,MATCH(COUNTIF(V17:AE17,PVO!A$1),ETAPP!A$1:A$32,0))&amp;INDEX(ETAPP!B$1:B$32,MATCH(COUNTIF(V17:AE17,PVO!A$2),ETAPP!A$1:A$32,0))&amp;INDEX(ETAPP!B$1:B$32,MATCH(COUNTIF(V17:AE17,PVO!A$3),ETAPP!A$1:A$32,0))&amp;INDEX(ETAPP!B$1:B$32,MATCH(COUNTIF(V17:AE17,PVO!A$4),ETAPP!A$1:A$32,0))&amp;INDEX(ETAPP!B$1:B$32,MATCH(COUNTIF(V17:AE17,PVO!A$5),ETAPP!A$1:A$32,0))&amp;INDEX(ETAPP!B$1:B$32,MATCH(COUNTIF(V17:AE17,PVO!A$6),ETAPP!A$1:A$32,0))&amp;INDEX(ETAPP!B$1:B$32,MATCH(COUNTIF(V17:AE17,PVO!A$7),ETAPP!A$1:A$32,0))&amp;INDEX(ETAPP!B$1:B$32,MATCH(COUNTIF(V17:AE17,PVO!A$8),ETAPP!A$1:A$32,0))&amp;INDEX(ETAPP!B$1:B$32,MATCH(COUNTIF(V17:AE17,PVO!A$9),ETAPP!A$1:A$32,0))&amp;INDEX(ETAPP!B$1:B$32,MATCH(COUNTIF(V17:AE17,PVO!A$10),ETAPP!A$1:A$32,0))&amp;INDEX(ETAPP!B$1:B$32,MATCH(COUNTIF(V17:AE17,PVO!A$11),ETAPP!A$1:A$32,0))&amp;INDEX(ETAPP!B$1:B$32,MATCH(COUNTIF(V17:AE17,PVO!A$12),ETAPP!A$1:A$32,0))&amp;INDEX(ETAPP!B$1:B$32,MATCH(COUNTIF(V17:AE17,PVO!A$13),ETAPP!A$1:A$32,0))&amp;INDEX(ETAPP!B$1:B$32,MATCH(COUNTIF(V17:AE17,PVO!A$14),ETAPP!A$1:A$32,0))&amp;INDEX(ETAPP!B$1:B$32,MATCH(COUNTIF(V17:AE17,PVO!A$15),ETAPP!A$1:A$32,0))&amp;INDEX(ETAPP!B$1:B$32,MATCH(COUNTIF(V17:AE17,PVO!A$16),ETAPP!A$1:A$32,0))&amp;INDEX(ETAPP!B$1:B$32,MATCH(COUNTIF(V17:AE17,PVO!A$17),ETAPP!A$1:A$32,0))&amp;INDEX(ETAPP!B$1:B$32,MATCH(COUNTIF(V17:AE17,PVO!A$18),ETAPP!A$1:A$32,0))&amp;INDEX(ETAPP!B$1:B$32,MATCH(COUNTIF(V17:AE17,PVO!A$19),ETAPP!A$1:A$32,0))&amp;INDEX(ETAPP!B$1:B$32,MATCH(COUNTIF(V17:AE17,PVO!A$20),ETAPP!A$1:A$32,0))&amp;INDEX(ETAPP!B$1:B$32,MATCH(COUNTIF(V17:AE17,PVO!A$21),ETAPP!A$1:A$32,0))&amp;INDEX(ETAPP!B$1:B$32,MATCH(COUNTIF(V17:AE17,PVO!A$22),ETAPP!A$1:A$32,0))</f>
        <v>0000000A0A0000AAB0B00A</v>
      </c>
      <c r="P17" s="268" t="str">
        <f t="shared" si="2"/>
        <v>060,5-0000000A0A0000AAB0B00A</v>
      </c>
      <c r="Q17" s="268">
        <f>COUNTIF(P$7:P$66,"&gt;="&amp;P17)</f>
        <v>11</v>
      </c>
      <c r="R17" s="268">
        <f>COUNTIF(I$7:I$66,"&gt;="&amp;I17)</f>
        <v>25</v>
      </c>
      <c r="S17" s="268" t="str">
        <f t="shared" si="3"/>
        <v>060,5-0000000A0A0000AAB0B00A-025</v>
      </c>
      <c r="T17" s="268">
        <f>COUNTIF(S$7:S$66,"&gt;="&amp;S17)</f>
        <v>11</v>
      </c>
      <c r="U17" s="832">
        <f>RANK(T17,T$7:T$66,0)</f>
        <v>50</v>
      </c>
      <c r="V17" s="210">
        <f>IFERROR(INDEX('V1'!C$300:C$400,MATCH("*"&amp;I17&amp;"*",'V1'!B$300:B$400,0)),"  ")</f>
        <v>2</v>
      </c>
      <c r="W17" s="210">
        <f>IFERROR(INDEX('V2'!C$300:C$400,MATCH("*"&amp;I17&amp;"*",'V2'!B$300:B$400,0)),"  ")</f>
        <v>4</v>
      </c>
      <c r="X17" s="210">
        <f>IFERROR(INDEX('V3'!C$300:C$400,MATCH("*"&amp;I17&amp;"*",'V3'!B$300:B$400,0)),"  ")</f>
        <v>4</v>
      </c>
      <c r="Y17" s="210">
        <f>IFERROR(INDEX('V4'!C$300:C$400,MATCH("*"&amp;I17&amp;"*",'V4'!B$300:B$400,0)),"  ")</f>
        <v>5</v>
      </c>
      <c r="Z17" s="210">
        <f>IFERROR(INDEX('V5'!C$300:C$400,MATCH("*"&amp;I17&amp;"*",'V5'!B$300:B$400,0)),"  ")</f>
        <v>13</v>
      </c>
      <c r="AA17" s="210">
        <f>IFERROR(INDEX('V6'!C$300:C$400,MATCH("*"&amp;I17&amp;"*",'V6'!B$300:B$400,0)),"  ")</f>
        <v>13.5</v>
      </c>
      <c r="AB17" s="210">
        <f>IFERROR(INDEX('V7'!C$300:C$400,MATCH("*"&amp;I17&amp;"*",'V7'!B$300:B$400,0)),"  ")</f>
        <v>2</v>
      </c>
      <c r="AC17" s="210" t="str">
        <f>IFERROR(INDEX('V8'!C$300:C$400,MATCH("*"&amp;I17&amp;"*",'V8'!B$300:B$400,0)),"  ")</f>
        <v xml:space="preserve">  </v>
      </c>
      <c r="AD17" s="210">
        <f>IFERROR(INDEX('V9'!C$300:C$400,MATCH("*"&amp;I17&amp;"*",'V9'!B$300:B$400,0)),"  ")</f>
        <v>11</v>
      </c>
      <c r="AE17" s="210">
        <f>IFERROR(INDEX('V10'!C$300:C$400,MATCH("*"&amp;I17&amp;"*",'V10'!B$300:B$400,0)),"  ")</f>
        <v>6</v>
      </c>
      <c r="AF17" s="211">
        <f t="shared" si="4"/>
        <v>1</v>
      </c>
      <c r="AG17" s="211">
        <f t="shared" si="8"/>
        <v>50</v>
      </c>
      <c r="AH17" s="1362" t="str">
        <f>IFERROR(IF(COUNTIF(V17:AE17,"&gt;0")&gt;=3,"edasi ","puudu "&amp;3-COUNT(V17:AE17))&amp;IF(OR(COUNTIF(V17:AE17,"&gt;0")&lt;3,COUNTIF(AE$7:AE$66,"&gt;0")=0),"",RANK(AG17,AG$7:AG$66,0)),"")</f>
        <v>edasi 11</v>
      </c>
      <c r="AI17" s="959">
        <f>IFERROR(INDEX('V-Fin'!A$300:A$325,MATCH(I17,'V-Fin'!B$300:B$325,0)),"")</f>
        <v>23</v>
      </c>
      <c r="AJ17" s="214">
        <f t="shared" si="5"/>
        <v>9</v>
      </c>
      <c r="AK17" s="212">
        <f>IFERROR(IF(V17+1&gt;LARGE(V$7:V$66,1)-2,1),0)+IFERROR(IF(W17+1&gt;LARGE(W$7:W$66,1)-2,1),0)+IFERROR(IF(X17+1&gt;LARGE(X$7:X$66,1)-2,1),0)+IFERROR(IF(Y17+1&gt;LARGE(Y$7:Y$66,1)-2,1),0)+IFERROR(IF(Z17+1&gt;LARGE(Z$7:Z$66,1)-2,1),0)+IFERROR(IF(AA17+1&gt;LARGE(AA$7:AA$66,1)-2,1),0)+IFERROR(IF(AB17+1&gt;LARGE(AB$7:AB$66,1)-2,1),0)+IFERROR(IF(AC17+1&gt;LARGE(AC$7:AC$66,1)-2,1),0)+IFERROR(IF(AD17+1&gt;LARGE(AD$7:AD$66,1)-2,1),0)+IFERROR(IF(AE17+1&gt;LARGE(AE$7:AE$66,1)-2,1),0)</f>
        <v>2</v>
      </c>
      <c r="AL17" s="212">
        <f>IF(V17=0,0,IF(V17=IFERROR(LARGE(V$7:V$66,1),0),1,0))+IF(W17=0,0,IF(W17=IFERROR(LARGE(W$7:W$66,1),0),1,0))+IF(X17=0,0,IF(X17=IFERROR(LARGE(X$7:X$66,1),0),1,0))+IF(Y17=0,0,IF(Y17=IFERROR(LARGE(Y$7:Y$66,1),0),1,0))+IF(Z17=0,0,IF(Z17=IFERROR(LARGE(Z$7:Z$66,1),0),1,0))+IF(AA17=0,0,IF(AA17=IFERROR(LARGE(AA$7:AA$66,1),0),1,0))+IF(AB17=0,0,IF(AB17=IFERROR(LARGE(AB$7:AB$66,1),0),1,0))+IF(AC17=0,0,IF(AC17=IFERROR(LARGE(AC$7:AC$66,1),0),1,0))+IF(AD17=0,0,IF(AD17=IFERROR(LARGE(AD$7:AD$66,1),0),1,0))+IF(AE17=0,0,IF(AE17=IFERROR(LARGE(AE$7:AE$66,1),0),1,0))</f>
        <v>0</v>
      </c>
    </row>
    <row r="18" spans="1:38" x14ac:dyDescent="0.2">
      <c r="A18" s="1026" t="str">
        <f>IF(M18="k",RANK(B18,B$7:B$66,0),"")</f>
        <v/>
      </c>
      <c r="B18" s="266">
        <f t="shared" si="0"/>
        <v>0</v>
      </c>
      <c r="C18" s="944"/>
      <c r="D18" s="1029" t="str">
        <f>IF(J18="n",RANK(E18,E$7:E$66,0),"")</f>
        <v/>
      </c>
      <c r="E18" s="1028">
        <f t="shared" si="6"/>
        <v>0</v>
      </c>
      <c r="F18" s="1025" t="str">
        <f>IF(K18="j",RANK(G18,G$7:G$66,0),"")</f>
        <v/>
      </c>
      <c r="G18" s="266">
        <f t="shared" si="7"/>
        <v>0</v>
      </c>
      <c r="H18" s="209">
        <f>IF(N18&gt;0,RANK(Q18,Q$7:Q$66,1),"")</f>
        <v>12</v>
      </c>
      <c r="I18" s="213" t="s">
        <v>89</v>
      </c>
      <c r="J18" s="269"/>
      <c r="K18" s="270"/>
      <c r="L18" s="1381"/>
      <c r="M18" s="274"/>
      <c r="N18" s="1019">
        <f t="shared" si="1"/>
        <v>59</v>
      </c>
      <c r="O18" s="268" t="str">
        <f>INDEX(ETAPP!B$1:B$32,MATCH(COUNTIF(V18:AE18,PVO!A$1),ETAPP!A$1:A$32,0))&amp;INDEX(ETAPP!B$1:B$32,MATCH(COUNTIF(V18:AE18,PVO!A$2),ETAPP!A$1:A$32,0))&amp;INDEX(ETAPP!B$1:B$32,MATCH(COUNTIF(V18:AE18,PVO!A$3),ETAPP!A$1:A$32,0))&amp;INDEX(ETAPP!B$1:B$32,MATCH(COUNTIF(V18:AE18,PVO!A$4),ETAPP!A$1:A$32,0))&amp;INDEX(ETAPP!B$1:B$32,MATCH(COUNTIF(V18:AE18,PVO!A$5),ETAPP!A$1:A$32,0))&amp;INDEX(ETAPP!B$1:B$32,MATCH(COUNTIF(V18:AE18,PVO!A$6),ETAPP!A$1:A$32,0))&amp;INDEX(ETAPP!B$1:B$32,MATCH(COUNTIF(V18:AE18,PVO!A$7),ETAPP!A$1:A$32,0))&amp;INDEX(ETAPP!B$1:B$32,MATCH(COUNTIF(V18:AE18,PVO!A$8),ETAPP!A$1:A$32,0))&amp;INDEX(ETAPP!B$1:B$32,MATCH(COUNTIF(V18:AE18,PVO!A$9),ETAPP!A$1:A$32,0))&amp;INDEX(ETAPP!B$1:B$32,MATCH(COUNTIF(V18:AE18,PVO!A$10),ETAPP!A$1:A$32,0))&amp;INDEX(ETAPP!B$1:B$32,MATCH(COUNTIF(V18:AE18,PVO!A$11),ETAPP!A$1:A$32,0))&amp;INDEX(ETAPP!B$1:B$32,MATCH(COUNTIF(V18:AE18,PVO!A$12),ETAPP!A$1:A$32,0))&amp;INDEX(ETAPP!B$1:B$32,MATCH(COUNTIF(V18:AE18,PVO!A$13),ETAPP!A$1:A$32,0))&amp;INDEX(ETAPP!B$1:B$32,MATCH(COUNTIF(V18:AE18,PVO!A$14),ETAPP!A$1:A$32,0))&amp;INDEX(ETAPP!B$1:B$32,MATCH(COUNTIF(V18:AE18,PVO!A$15),ETAPP!A$1:A$32,0))&amp;INDEX(ETAPP!B$1:B$32,MATCH(COUNTIF(V18:AE18,PVO!A$16),ETAPP!A$1:A$32,0))&amp;INDEX(ETAPP!B$1:B$32,MATCH(COUNTIF(V18:AE18,PVO!A$17),ETAPP!A$1:A$32,0))&amp;INDEX(ETAPP!B$1:B$32,MATCH(COUNTIF(V18:AE18,PVO!A$18),ETAPP!A$1:A$32,0))&amp;INDEX(ETAPP!B$1:B$32,MATCH(COUNTIF(V18:AE18,PVO!A$19),ETAPP!A$1:A$32,0))&amp;INDEX(ETAPP!B$1:B$32,MATCH(COUNTIF(V18:AE18,PVO!A$20),ETAPP!A$1:A$32,0))&amp;INDEX(ETAPP!B$1:B$32,MATCH(COUNTIF(V18:AE18,PVO!A$21),ETAPP!A$1:A$32,0))&amp;INDEX(ETAPP!B$1:B$32,MATCH(COUNTIF(V18:AE18,PVO!A$22),ETAPP!A$1:A$32,0))</f>
        <v>0000AAB00000000000000F</v>
      </c>
      <c r="P18" s="268" t="str">
        <f t="shared" si="2"/>
        <v>059,0-0000AAB00000000000000F</v>
      </c>
      <c r="Q18" s="268">
        <f>COUNTIF(P$7:P$66,"&gt;="&amp;P18)</f>
        <v>12</v>
      </c>
      <c r="R18" s="268">
        <f>COUNTIF(I$7:I$66,"&gt;="&amp;I18)</f>
        <v>43</v>
      </c>
      <c r="S18" s="268" t="str">
        <f t="shared" si="3"/>
        <v>059,0-0000AAB00000000000000F-043</v>
      </c>
      <c r="T18" s="268">
        <f>COUNTIF(S$7:S$66,"&gt;="&amp;S18)</f>
        <v>12</v>
      </c>
      <c r="U18" s="832">
        <f>RANK(T18,T$7:T$66,0)</f>
        <v>49</v>
      </c>
      <c r="V18" s="210" t="str">
        <f>IFERROR(INDEX('V1'!C$300:C$400,MATCH("*"&amp;I18&amp;"*",'V1'!B$300:B$400,0)),"  ")</f>
        <v xml:space="preserve">  </v>
      </c>
      <c r="W18" s="210">
        <f>IFERROR(INDEX('V2'!C$300:C$400,MATCH("*"&amp;I18&amp;"*",'V2'!B$300:B$400,0)),"  ")</f>
        <v>16</v>
      </c>
      <c r="X18" s="210">
        <f>IFERROR(INDEX('V3'!C$300:C$400,MATCH("*"&amp;I18&amp;"*",'V3'!B$300:B$400,0)),"  ")</f>
        <v>14</v>
      </c>
      <c r="Y18" s="210" t="str">
        <f>IFERROR(INDEX('V4'!C$300:C$400,MATCH("*"&amp;I18&amp;"*",'V4'!B$300:B$400,0)),"  ")</f>
        <v xml:space="preserve">  </v>
      </c>
      <c r="Z18" s="210" t="str">
        <f>IFERROR(INDEX('V5'!C$300:C$400,MATCH("*"&amp;I18&amp;"*",'V5'!B$300:B$400,0)),"  ")</f>
        <v xml:space="preserve">  </v>
      </c>
      <c r="AA18" s="210">
        <f>IFERROR(INDEX('V6'!C$300:C$400,MATCH("*"&amp;I18&amp;"*",'V6'!B$300:B$400,0)),"  ")</f>
        <v>15</v>
      </c>
      <c r="AB18" s="210" t="str">
        <f>IFERROR(INDEX('V7'!C$300:C$400,MATCH("*"&amp;I18&amp;"*",'V7'!B$300:B$400,0)),"  ")</f>
        <v xml:space="preserve">  </v>
      </c>
      <c r="AC18" s="210" t="str">
        <f>IFERROR(INDEX('V8'!C$300:C$400,MATCH("*"&amp;I18&amp;"*",'V8'!B$300:B$400,0)),"  ")</f>
        <v xml:space="preserve">  </v>
      </c>
      <c r="AD18" s="210">
        <f>IFERROR(INDEX('V9'!C$300:C$400,MATCH("*"&amp;I18&amp;"*",'V9'!B$300:B$400,0)),"  ")</f>
        <v>14</v>
      </c>
      <c r="AE18" s="210" t="str">
        <f>IFERROR(INDEX('V10'!C$300:C$400,MATCH("*"&amp;I18&amp;"*",'V10'!B$300:B$400,0)),"  ")</f>
        <v xml:space="preserve">  </v>
      </c>
      <c r="AF18" s="211">
        <f t="shared" si="4"/>
        <v>1</v>
      </c>
      <c r="AG18" s="211">
        <f t="shared" si="8"/>
        <v>49</v>
      </c>
      <c r="AH18" s="1362" t="str">
        <f>IFERROR(IF(COUNTIF(V18:AE18,"&gt;0")&gt;=3,"edasi ","puudu "&amp;3-COUNT(V18:AE18))&amp;IF(OR(COUNTIF(V18:AE18,"&gt;0")&lt;3,COUNTIF(AE$7:AE$66,"&gt;0")=0),"",RANK(AG18,AG$7:AG$66,0)),"")</f>
        <v>edasi 12</v>
      </c>
      <c r="AI18" s="959" t="str">
        <f>IFERROR(INDEX('V-Fin'!A$300:A$325,MATCH(I18,'V-Fin'!B$300:B$325,0)),"")</f>
        <v/>
      </c>
      <c r="AJ18" s="214">
        <f t="shared" si="5"/>
        <v>4</v>
      </c>
      <c r="AK18" s="212">
        <f>IFERROR(IF(V18+1&gt;LARGE(V$7:V$66,1)-2,1),0)+IFERROR(IF(W18+1&gt;LARGE(W$7:W$66,1)-2,1),0)+IFERROR(IF(X18+1&gt;LARGE(X$7:X$66,1)-2,1),0)+IFERROR(IF(Y18+1&gt;LARGE(Y$7:Y$66,1)-2,1),0)+IFERROR(IF(Z18+1&gt;LARGE(Z$7:Z$66,1)-2,1),0)+IFERROR(IF(AA18+1&gt;LARGE(AA$7:AA$66,1)-2,1),0)+IFERROR(IF(AB18+1&gt;LARGE(AB$7:AB$66,1)-2,1),0)+IFERROR(IF(AC18+1&gt;LARGE(AC$7:AC$66,1)-2,1),0)+IFERROR(IF(AD18+1&gt;LARGE(AD$7:AD$66,1)-2,1),0)+IFERROR(IF(AE18+1&gt;LARGE(AE$7:AE$66,1)-2,1),0)</f>
        <v>4</v>
      </c>
      <c r="AL18" s="212">
        <f>IF(V18=0,0,IF(V18=IFERROR(LARGE(V$7:V$66,1),0),1,0))+IF(W18=0,0,IF(W18=IFERROR(LARGE(W$7:W$66,1),0),1,0))+IF(X18=0,0,IF(X18=IFERROR(LARGE(X$7:X$66,1),0),1,0))+IF(Y18=0,0,IF(Y18=IFERROR(LARGE(Y$7:Y$66,1),0),1,0))+IF(Z18=0,0,IF(Z18=IFERROR(LARGE(Z$7:Z$66,1),0),1,0))+IF(AA18=0,0,IF(AA18=IFERROR(LARGE(AA$7:AA$66,1),0),1,0))+IF(AB18=0,0,IF(AB18=IFERROR(LARGE(AB$7:AB$66,1),0),1,0))+IF(AC18=0,0,IF(AC18=IFERROR(LARGE(AC$7:AC$66,1),0),1,0))+IF(AD18=0,0,IF(AD18=IFERROR(LARGE(AD$7:AD$66,1),0),1,0))+IF(AE18=0,0,IF(AE18=IFERROR(LARGE(AE$7:AE$66,1),0),1,0))</f>
        <v>2</v>
      </c>
    </row>
    <row r="19" spans="1:38" x14ac:dyDescent="0.2">
      <c r="A19" s="1026">
        <f>IF(M19="k",RANK(B19,B$7:B$66,0),"")</f>
        <v>5</v>
      </c>
      <c r="B19" s="266">
        <f t="shared" si="0"/>
        <v>10059</v>
      </c>
      <c r="C19" s="944"/>
      <c r="D19" s="1029" t="str">
        <f>IF(J19="n",RANK(E19,E$7:E$66,0),"")</f>
        <v/>
      </c>
      <c r="E19" s="1028">
        <f t="shared" si="6"/>
        <v>0</v>
      </c>
      <c r="F19" s="1025" t="str">
        <f>IF(K19="j",RANK(G19,G$7:G$66,0),"")</f>
        <v/>
      </c>
      <c r="G19" s="266">
        <f t="shared" si="7"/>
        <v>0</v>
      </c>
      <c r="H19" s="209">
        <f>IF(N19&gt;0,RANK(Q19,Q$7:Q$66,1),"")</f>
        <v>13</v>
      </c>
      <c r="I19" s="213" t="s">
        <v>114</v>
      </c>
      <c r="J19" s="269"/>
      <c r="K19" s="270"/>
      <c r="L19" s="1382" t="s">
        <v>647</v>
      </c>
      <c r="M19" s="274" t="s">
        <v>187</v>
      </c>
      <c r="N19" s="1019">
        <f t="shared" si="1"/>
        <v>59</v>
      </c>
      <c r="O19" s="268" t="str">
        <f>INDEX(ETAPP!B$1:B$32,MATCH(COUNTIF(V19:AE19,PVO!A$1),ETAPP!A$1:A$32,0))&amp;INDEX(ETAPP!B$1:B$32,MATCH(COUNTIF(V19:AE19,PVO!A$2),ETAPP!A$1:A$32,0))&amp;INDEX(ETAPP!B$1:B$32,MATCH(COUNTIF(V19:AE19,PVO!A$3),ETAPP!A$1:A$32,0))&amp;INDEX(ETAPP!B$1:B$32,MATCH(COUNTIF(V19:AE19,PVO!A$4),ETAPP!A$1:A$32,0))&amp;INDEX(ETAPP!B$1:B$32,MATCH(COUNTIF(V19:AE19,PVO!A$5),ETAPP!A$1:A$32,0))&amp;INDEX(ETAPP!B$1:B$32,MATCH(COUNTIF(V19:AE19,PVO!A$6),ETAPP!A$1:A$32,0))&amp;INDEX(ETAPP!B$1:B$32,MATCH(COUNTIF(V19:AE19,PVO!A$7),ETAPP!A$1:A$32,0))&amp;INDEX(ETAPP!B$1:B$32,MATCH(COUNTIF(V19:AE19,PVO!A$8),ETAPP!A$1:A$32,0))&amp;INDEX(ETAPP!B$1:B$32,MATCH(COUNTIF(V19:AE19,PVO!A$9),ETAPP!A$1:A$32,0))&amp;INDEX(ETAPP!B$1:B$32,MATCH(COUNTIF(V19:AE19,PVO!A$10),ETAPP!A$1:A$32,0))&amp;INDEX(ETAPP!B$1:B$32,MATCH(COUNTIF(V19:AE19,PVO!A$11),ETAPP!A$1:A$32,0))&amp;INDEX(ETAPP!B$1:B$32,MATCH(COUNTIF(V19:AE19,PVO!A$12),ETAPP!A$1:A$32,0))&amp;INDEX(ETAPP!B$1:B$32,MATCH(COUNTIF(V19:AE19,PVO!A$13),ETAPP!A$1:A$32,0))&amp;INDEX(ETAPP!B$1:B$32,MATCH(COUNTIF(V19:AE19,PVO!A$14),ETAPP!A$1:A$32,0))&amp;INDEX(ETAPP!B$1:B$32,MATCH(COUNTIF(V19:AE19,PVO!A$15),ETAPP!A$1:A$32,0))&amp;INDEX(ETAPP!B$1:B$32,MATCH(COUNTIF(V19:AE19,PVO!A$16),ETAPP!A$1:A$32,0))&amp;INDEX(ETAPP!B$1:B$32,MATCH(COUNTIF(V19:AE19,PVO!A$17),ETAPP!A$1:A$32,0))&amp;INDEX(ETAPP!B$1:B$32,MATCH(COUNTIF(V19:AE19,PVO!A$18),ETAPP!A$1:A$32,0))&amp;INDEX(ETAPP!B$1:B$32,MATCH(COUNTIF(V19:AE19,PVO!A$19),ETAPP!A$1:A$32,0))&amp;INDEX(ETAPP!B$1:B$32,MATCH(COUNTIF(V19:AE19,PVO!A$20),ETAPP!A$1:A$32,0))&amp;INDEX(ETAPP!B$1:B$32,MATCH(COUNTIF(V19:AE19,PVO!A$21),ETAPP!A$1:A$32,0))&amp;INDEX(ETAPP!B$1:B$32,MATCH(COUNTIF(V19:AE19,PVO!A$22),ETAPP!A$1:A$32,0))</f>
        <v>0000000000C00000AA000A</v>
      </c>
      <c r="P19" s="268" t="str">
        <f t="shared" si="2"/>
        <v>059,0-0000000000C00000AA000A</v>
      </c>
      <c r="Q19" s="268">
        <f>COUNTIF(P$7:P$66,"&gt;="&amp;P19)</f>
        <v>13</v>
      </c>
      <c r="R19" s="268">
        <f>COUNTIF(I$7:I$66,"&gt;="&amp;I19)</f>
        <v>38</v>
      </c>
      <c r="S19" s="268" t="str">
        <f t="shared" si="3"/>
        <v>059,0-0000000000C00000AA000A-038</v>
      </c>
      <c r="T19" s="268">
        <f>COUNTIF(S$7:S$66,"&gt;="&amp;S19)</f>
        <v>13</v>
      </c>
      <c r="U19" s="832">
        <f>RANK(T19,T$7:T$66,0)</f>
        <v>48</v>
      </c>
      <c r="V19" s="210" t="str">
        <f>IFERROR(INDEX('V1'!C$300:C$400,MATCH("*"&amp;I19&amp;"*",'V1'!B$300:B$400,0)),"  ")</f>
        <v xml:space="preserve">  </v>
      </c>
      <c r="W19" s="210">
        <f>IFERROR(INDEX('V2'!C$300:C$400,MATCH("*"&amp;I19&amp;"*",'V2'!B$300:B$400,0)),"  ")</f>
        <v>5.5</v>
      </c>
      <c r="X19" s="210">
        <f>IFERROR(INDEX('V3'!C$300:C$400,MATCH("*"&amp;I19&amp;"*",'V3'!B$300:B$400,0)),"  ")</f>
        <v>10</v>
      </c>
      <c r="Y19" s="210">
        <f>IFERROR(INDEX('V4'!C$300:C$400,MATCH("*"&amp;I19&amp;"*",'V4'!B$300:B$400,0)),"  ")</f>
        <v>3</v>
      </c>
      <c r="Z19" s="210">
        <f>IFERROR(INDEX('V5'!C$300:C$400,MATCH("*"&amp;I19&amp;"*",'V5'!B$300:B$400,0)),"  ")</f>
        <v>4</v>
      </c>
      <c r="AA19" s="210">
        <f>IFERROR(INDEX('V6'!C$300:C$400,MATCH("*"&amp;I19&amp;"*",'V6'!B$300:B$400,0)),"  ")</f>
        <v>2.5</v>
      </c>
      <c r="AB19" s="210">
        <f>IFERROR(INDEX('V7'!C$300:C$400,MATCH("*"&amp;I19&amp;"*",'V7'!B$300:B$400,0)),"  ")</f>
        <v>10</v>
      </c>
      <c r="AC19" s="210">
        <f>IFERROR(INDEX('V8'!C$300:C$400,MATCH("*"&amp;I19&amp;"*",'V8'!B$300:B$400,0)),"  ")</f>
        <v>4.5</v>
      </c>
      <c r="AD19" s="210">
        <f>IFERROR(INDEX('V9'!C$300:C$400,MATCH("*"&amp;I19&amp;"*",'V9'!B$300:B$400,0)),"  ")</f>
        <v>9.5</v>
      </c>
      <c r="AE19" s="210">
        <f>IFERROR(INDEX('V10'!C$300:C$400,MATCH("*"&amp;I19&amp;"*",'V10'!B$300:B$400,0)),"  ")</f>
        <v>10</v>
      </c>
      <c r="AF19" s="211">
        <f t="shared" si="4"/>
        <v>1</v>
      </c>
      <c r="AG19" s="211">
        <f t="shared" si="8"/>
        <v>48</v>
      </c>
      <c r="AH19" s="1362" t="str">
        <f>IFERROR(IF(COUNTIF(V19:AE19,"&gt;0")&gt;=3,"edasi ","puudu "&amp;3-COUNT(V19:AE19))&amp;IF(OR(COUNTIF(V19:AE19,"&gt;0")&lt;3,COUNTIF(AE$7:AE$66,"&gt;0")=0),"",RANK(AG19,AG$7:AG$66,0)),"")</f>
        <v>edasi 13</v>
      </c>
      <c r="AI19" s="959" t="str">
        <f>IFERROR(INDEX('V-Fin'!A$300:A$325,MATCH(I19,'V-Fin'!B$300:B$325,0)),"")</f>
        <v/>
      </c>
      <c r="AJ19" s="214">
        <f t="shared" si="5"/>
        <v>9</v>
      </c>
      <c r="AK19" s="212">
        <f>IFERROR(IF(V19+1&gt;LARGE(V$7:V$66,1)-2,1),0)+IFERROR(IF(W19+1&gt;LARGE(W$7:W$66,1)-2,1),0)+IFERROR(IF(X19+1&gt;LARGE(X$7:X$66,1)-2,1),0)+IFERROR(IF(Y19+1&gt;LARGE(Y$7:Y$66,1)-2,1),0)+IFERROR(IF(Z19+1&gt;LARGE(Z$7:Z$66,1)-2,1),0)+IFERROR(IF(AA19+1&gt;LARGE(AA$7:AA$66,1)-2,1),0)+IFERROR(IF(AB19+1&gt;LARGE(AB$7:AB$66,1)-2,1),0)+IFERROR(IF(AC19+1&gt;LARGE(AC$7:AC$66,1)-2,1),0)+IFERROR(IF(AD19+1&gt;LARGE(AD$7:AD$66,1)-2,1),0)+IFERROR(IF(AE19+1&gt;LARGE(AE$7:AE$66,1)-2,1),0)</f>
        <v>2</v>
      </c>
      <c r="AL19" s="212">
        <f>IF(V19=0,0,IF(V19=IFERROR(LARGE(V$7:V$66,1),0),1,0))+IF(W19=0,0,IF(W19=IFERROR(LARGE(W$7:W$66,1),0),1,0))+IF(X19=0,0,IF(X19=IFERROR(LARGE(X$7:X$66,1),0),1,0))+IF(Y19=0,0,IF(Y19=IFERROR(LARGE(Y$7:Y$66,1),0),1,0))+IF(Z19=0,0,IF(Z19=IFERROR(LARGE(Z$7:Z$66,1),0),1,0))+IF(AA19=0,0,IF(AA19=IFERROR(LARGE(AA$7:AA$66,1),0),1,0))+IF(AB19=0,0,IF(AB19=IFERROR(LARGE(AB$7:AB$66,1),0),1,0))+IF(AC19=0,0,IF(AC19=IFERROR(LARGE(AC$7:AC$66,1),0),1,0))+IF(AD19=0,0,IF(AD19=IFERROR(LARGE(AD$7:AD$66,1),0),1,0))+IF(AE19=0,0,IF(AE19=IFERROR(LARGE(AE$7:AE$66,1),0),1,0))</f>
        <v>1</v>
      </c>
    </row>
    <row r="20" spans="1:38" x14ac:dyDescent="0.2">
      <c r="A20" s="1026" t="str">
        <f>IF(M20="k",RANK(B20,B$7:B$66,0),"")</f>
        <v/>
      </c>
      <c r="B20" s="266">
        <f t="shared" si="0"/>
        <v>0</v>
      </c>
      <c r="C20" s="944"/>
      <c r="D20" s="1029" t="str">
        <f>IF(J20="n",RANK(E20,E$7:E$66,0),"")</f>
        <v/>
      </c>
      <c r="E20" s="1028">
        <f t="shared" si="6"/>
        <v>0</v>
      </c>
      <c r="F20" s="1031">
        <f>IF(K20="j",RANK(G20,G$7:G$66,0),"")</f>
        <v>1</v>
      </c>
      <c r="G20" s="266">
        <f t="shared" si="7"/>
        <v>10056</v>
      </c>
      <c r="H20" s="209">
        <f>IF(N20&gt;0,RANK(Q20,Q$7:Q$66,1),"")</f>
        <v>14</v>
      </c>
      <c r="I20" s="213" t="s">
        <v>88</v>
      </c>
      <c r="J20" s="269"/>
      <c r="K20" s="611" t="s">
        <v>138</v>
      </c>
      <c r="L20" s="1381"/>
      <c r="M20" s="274"/>
      <c r="N20" s="1019">
        <f t="shared" si="1"/>
        <v>56</v>
      </c>
      <c r="O20" s="268" t="str">
        <f>INDEX(ETAPP!B$1:B$32,MATCH(COUNTIF(V20:AE20,PVO!A$1),ETAPP!A$1:A$32,0))&amp;INDEX(ETAPP!B$1:B$32,MATCH(COUNTIF(V20:AE20,PVO!A$2),ETAPP!A$1:A$32,0))&amp;INDEX(ETAPP!B$1:B$32,MATCH(COUNTIF(V20:AE20,PVO!A$3),ETAPP!A$1:A$32,0))&amp;INDEX(ETAPP!B$1:B$32,MATCH(COUNTIF(V20:AE20,PVO!A$4),ETAPP!A$1:A$32,0))&amp;INDEX(ETAPP!B$1:B$32,MATCH(COUNTIF(V20:AE20,PVO!A$5),ETAPP!A$1:A$32,0))&amp;INDEX(ETAPP!B$1:B$32,MATCH(COUNTIF(V20:AE20,PVO!A$6),ETAPP!A$1:A$32,0))&amp;INDEX(ETAPP!B$1:B$32,MATCH(COUNTIF(V20:AE20,PVO!A$7),ETAPP!A$1:A$32,0))&amp;INDEX(ETAPP!B$1:B$32,MATCH(COUNTIF(V20:AE20,PVO!A$8),ETAPP!A$1:A$32,0))&amp;INDEX(ETAPP!B$1:B$32,MATCH(COUNTIF(V20:AE20,PVO!A$9),ETAPP!A$1:A$32,0))&amp;INDEX(ETAPP!B$1:B$32,MATCH(COUNTIF(V20:AE20,PVO!A$10),ETAPP!A$1:A$32,0))&amp;INDEX(ETAPP!B$1:B$32,MATCH(COUNTIF(V20:AE20,PVO!A$11),ETAPP!A$1:A$32,0))&amp;INDEX(ETAPP!B$1:B$32,MATCH(COUNTIF(V20:AE20,PVO!A$12),ETAPP!A$1:A$32,0))&amp;INDEX(ETAPP!B$1:B$32,MATCH(COUNTIF(V20:AE20,PVO!A$13),ETAPP!A$1:A$32,0))&amp;INDEX(ETAPP!B$1:B$32,MATCH(COUNTIF(V20:AE20,PVO!A$14),ETAPP!A$1:A$32,0))&amp;INDEX(ETAPP!B$1:B$32,MATCH(COUNTIF(V20:AE20,PVO!A$15),ETAPP!A$1:A$32,0))&amp;INDEX(ETAPP!B$1:B$32,MATCH(COUNTIF(V20:AE20,PVO!A$16),ETAPP!A$1:A$32,0))&amp;INDEX(ETAPP!B$1:B$32,MATCH(COUNTIF(V20:AE20,PVO!A$17),ETAPP!A$1:A$32,0))&amp;INDEX(ETAPP!B$1:B$32,MATCH(COUNTIF(V20:AE20,PVO!A$18),ETAPP!A$1:A$32,0))&amp;INDEX(ETAPP!B$1:B$32,MATCH(COUNTIF(V20:AE20,PVO!A$19),ETAPP!A$1:A$32,0))&amp;INDEX(ETAPP!B$1:B$32,MATCH(COUNTIF(V20:AE20,PVO!A$20),ETAPP!A$1:A$32,0))&amp;INDEX(ETAPP!B$1:B$32,MATCH(COUNTIF(V20:AE20,PVO!A$21),ETAPP!A$1:A$32,0))&amp;INDEX(ETAPP!B$1:B$32,MATCH(COUNTIF(V20:AE20,PVO!A$22),ETAPP!A$1:A$32,0))</f>
        <v>00000AA00AA000A000000E</v>
      </c>
      <c r="P20" s="268" t="str">
        <f t="shared" si="2"/>
        <v>056,0-00000AA00AA000A000000E</v>
      </c>
      <c r="Q20" s="268">
        <f>COUNTIF(P$7:P$66,"&gt;="&amp;P20)</f>
        <v>14</v>
      </c>
      <c r="R20" s="268">
        <f>COUNTIF(I$7:I$66,"&gt;="&amp;I20)</f>
        <v>20</v>
      </c>
      <c r="S20" s="268" t="str">
        <f t="shared" si="3"/>
        <v>056,0-00000AA00AA000A000000E-020</v>
      </c>
      <c r="T20" s="268">
        <f>COUNTIF(S$7:S$66,"&gt;="&amp;S20)</f>
        <v>14</v>
      </c>
      <c r="U20" s="832">
        <f>RANK(T20,T$7:T$66,0)</f>
        <v>47</v>
      </c>
      <c r="V20" s="210">
        <f>IFERROR(INDEX('V1'!C$300:C$400,MATCH("*"&amp;I20&amp;"*",'V1'!B$300:B$400,0)),"  ")</f>
        <v>10</v>
      </c>
      <c r="W20" s="210" t="str">
        <f>IFERROR(INDEX('V2'!C$300:C$400,MATCH("*"&amp;I20&amp;"*",'V2'!B$300:B$400,0)),"  ")</f>
        <v xml:space="preserve">  </v>
      </c>
      <c r="X20" s="210">
        <f>IFERROR(INDEX('V3'!C$300:C$400,MATCH("*"&amp;I20&amp;"*",'V3'!B$300:B$400,0)),"  ")</f>
        <v>15</v>
      </c>
      <c r="Y20" s="210" t="str">
        <f>IFERROR(INDEX('V4'!C$300:C$400,MATCH("*"&amp;I20&amp;"*",'V4'!B$300:B$400,0)),"  ")</f>
        <v xml:space="preserve">  </v>
      </c>
      <c r="Z20" s="210">
        <f>IFERROR(INDEX('V5'!C$300:C$400,MATCH("*"&amp;I20&amp;"*",'V5'!B$300:B$400,0)),"  ")</f>
        <v>14</v>
      </c>
      <c r="AA20" s="210">
        <f>IFERROR(INDEX('V6'!C$300:C$400,MATCH("*"&amp;I20&amp;"*",'V6'!B$300:B$400,0)),"  ")</f>
        <v>11</v>
      </c>
      <c r="AB20" s="210">
        <f>IFERROR(INDEX('V7'!C$300:C$400,MATCH("*"&amp;I20&amp;"*",'V7'!B$300:B$400,0)),"  ")</f>
        <v>6</v>
      </c>
      <c r="AC20" s="210" t="str">
        <f>IFERROR(INDEX('V8'!C$300:C$400,MATCH("*"&amp;I20&amp;"*",'V8'!B$300:B$400,0)),"  ")</f>
        <v xml:space="preserve">  </v>
      </c>
      <c r="AD20" s="210" t="str">
        <f>IFERROR(INDEX('V9'!C$300:C$400,MATCH("*"&amp;I20&amp;"*",'V9'!B$300:B$400,0)),"  ")</f>
        <v xml:space="preserve">  </v>
      </c>
      <c r="AE20" s="210" t="str">
        <f>IFERROR(INDEX('V10'!C$300:C$400,MATCH("*"&amp;I20&amp;"*",'V10'!B$300:B$400,0)),"  ")</f>
        <v xml:space="preserve">  </v>
      </c>
      <c r="AF20" s="211">
        <f t="shared" si="4"/>
        <v>1</v>
      </c>
      <c r="AG20" s="211">
        <f t="shared" si="8"/>
        <v>47</v>
      </c>
      <c r="AH20" s="1362" t="str">
        <f>IFERROR(IF(COUNTIF(V20:AE20,"&gt;0")&gt;=3,"edasi ","puudu "&amp;3-COUNT(V20:AE20))&amp;IF(OR(COUNTIF(V20:AE20,"&gt;0")&lt;3,COUNTIF(AE$7:AE$66,"&gt;0")=0),"",RANK(AG20,AG$7:AG$66,0)),"")</f>
        <v>edasi 14</v>
      </c>
      <c r="AI20" s="959" t="str">
        <f>IFERROR(INDEX('V-Fin'!A$300:A$325,MATCH(I20,'V-Fin'!B$300:B$325,0)),"")</f>
        <v/>
      </c>
      <c r="AJ20" s="214">
        <f t="shared" si="5"/>
        <v>5</v>
      </c>
      <c r="AK20" s="212">
        <f>IFERROR(IF(V20+1&gt;LARGE(V$7:V$66,1)-2,1),0)+IFERROR(IF(W20+1&gt;LARGE(W$7:W$66,1)-2,1),0)+IFERROR(IF(X20+1&gt;LARGE(X$7:X$66,1)-2,1),0)+IFERROR(IF(Y20+1&gt;LARGE(Y$7:Y$66,1)-2,1),0)+IFERROR(IF(Z20+1&gt;LARGE(Z$7:Z$66,1)-2,1),0)+IFERROR(IF(AA20+1&gt;LARGE(AA$7:AA$66,1)-2,1),0)+IFERROR(IF(AB20+1&gt;LARGE(AB$7:AB$66,1)-2,1),0)+IFERROR(IF(AC20+1&gt;LARGE(AC$7:AC$66,1)-2,1),0)+IFERROR(IF(AD20+1&gt;LARGE(AD$7:AD$66,1)-2,1),0)+IFERROR(IF(AE20+1&gt;LARGE(AE$7:AE$66,1)-2,1),0)</f>
        <v>3</v>
      </c>
      <c r="AL20" s="212">
        <f>IF(V20=0,0,IF(V20=IFERROR(LARGE(V$7:V$66,1),0),1,0))+IF(W20=0,0,IF(W20=IFERROR(LARGE(W$7:W$66,1),0),1,0))+IF(X20=0,0,IF(X20=IFERROR(LARGE(X$7:X$66,1),0),1,0))+IF(Y20=0,0,IF(Y20=IFERROR(LARGE(Y$7:Y$66,1),0),1,0))+IF(Z20=0,0,IF(Z20=IFERROR(LARGE(Z$7:Z$66,1),0),1,0))+IF(AA20=0,0,IF(AA20=IFERROR(LARGE(AA$7:AA$66,1),0),1,0))+IF(AB20=0,0,IF(AB20=IFERROR(LARGE(AB$7:AB$66,1),0),1,0))+IF(AC20=0,0,IF(AC20=IFERROR(LARGE(AC$7:AC$66,1),0),1,0))+IF(AD20=0,0,IF(AD20=IFERROR(LARGE(AD$7:AD$66,1),0),1,0))+IF(AE20=0,0,IF(AE20=IFERROR(LARGE(AE$7:AE$66,1),0),1,0))</f>
        <v>2</v>
      </c>
    </row>
    <row r="21" spans="1:38" x14ac:dyDescent="0.2">
      <c r="A21" s="1026">
        <f>IF(M21="k",RANK(B21,B$7:B$66,0),"")</f>
        <v>6</v>
      </c>
      <c r="B21" s="266">
        <f t="shared" si="0"/>
        <v>10053.5</v>
      </c>
      <c r="C21" s="944"/>
      <c r="D21" s="1029" t="str">
        <f>IF(J21="n",RANK(E21,E$7:E$66,0),"")</f>
        <v/>
      </c>
      <c r="E21" s="1028">
        <f t="shared" si="6"/>
        <v>0</v>
      </c>
      <c r="F21" s="1025" t="str">
        <f>IF(K21="j",RANK(G21,G$7:G$66,0),"")</f>
        <v/>
      </c>
      <c r="G21" s="266">
        <f t="shared" si="7"/>
        <v>0</v>
      </c>
      <c r="H21" s="209">
        <f>IF(N21&gt;0,RANK(Q21,Q$7:Q$66,1),"")</f>
        <v>15</v>
      </c>
      <c r="I21" s="267" t="s">
        <v>120</v>
      </c>
      <c r="J21" s="269"/>
      <c r="K21" s="270"/>
      <c r="L21" s="1382" t="s">
        <v>647</v>
      </c>
      <c r="M21" s="274" t="s">
        <v>187</v>
      </c>
      <c r="N21" s="1019">
        <f t="shared" si="1"/>
        <v>53.5</v>
      </c>
      <c r="O21" s="268" t="str">
        <f>INDEX(ETAPP!B$1:B$32,MATCH(COUNTIF(V21:AE21,PVO!A$1),ETAPP!A$1:A$32,0))&amp;INDEX(ETAPP!B$1:B$32,MATCH(COUNTIF(V21:AE21,PVO!A$2),ETAPP!A$1:A$32,0))&amp;INDEX(ETAPP!B$1:B$32,MATCH(COUNTIF(V21:AE21,PVO!A$3),ETAPP!A$1:A$32,0))&amp;INDEX(ETAPP!B$1:B$32,MATCH(COUNTIF(V21:AE21,PVO!A$4),ETAPP!A$1:A$32,0))&amp;INDEX(ETAPP!B$1:B$32,MATCH(COUNTIF(V21:AE21,PVO!A$5),ETAPP!A$1:A$32,0))&amp;INDEX(ETAPP!B$1:B$32,MATCH(COUNTIF(V21:AE21,PVO!A$6),ETAPP!A$1:A$32,0))&amp;INDEX(ETAPP!B$1:B$32,MATCH(COUNTIF(V21:AE21,PVO!A$7),ETAPP!A$1:A$32,0))&amp;INDEX(ETAPP!B$1:B$32,MATCH(COUNTIF(V21:AE21,PVO!A$8),ETAPP!A$1:A$32,0))&amp;INDEX(ETAPP!B$1:B$32,MATCH(COUNTIF(V21:AE21,PVO!A$9),ETAPP!A$1:A$32,0))&amp;INDEX(ETAPP!B$1:B$32,MATCH(COUNTIF(V21:AE21,PVO!A$10),ETAPP!A$1:A$32,0))&amp;INDEX(ETAPP!B$1:B$32,MATCH(COUNTIF(V21:AE21,PVO!A$11),ETAPP!A$1:A$32,0))&amp;INDEX(ETAPP!B$1:B$32,MATCH(COUNTIF(V21:AE21,PVO!A$12),ETAPP!A$1:A$32,0))&amp;INDEX(ETAPP!B$1:B$32,MATCH(COUNTIF(V21:AE21,PVO!A$13),ETAPP!A$1:A$32,0))&amp;INDEX(ETAPP!B$1:B$32,MATCH(COUNTIF(V21:AE21,PVO!A$14),ETAPP!A$1:A$32,0))&amp;INDEX(ETAPP!B$1:B$32,MATCH(COUNTIF(V21:AE21,PVO!A$15),ETAPP!A$1:A$32,0))&amp;INDEX(ETAPP!B$1:B$32,MATCH(COUNTIF(V21:AE21,PVO!A$16),ETAPP!A$1:A$32,0))&amp;INDEX(ETAPP!B$1:B$32,MATCH(COUNTIF(V21:AE21,PVO!A$17),ETAPP!A$1:A$32,0))&amp;INDEX(ETAPP!B$1:B$32,MATCH(COUNTIF(V21:AE21,PVO!A$18),ETAPP!A$1:A$32,0))&amp;INDEX(ETAPP!B$1:B$32,MATCH(COUNTIF(V21:AE21,PVO!A$19),ETAPP!A$1:A$32,0))&amp;INDEX(ETAPP!B$1:B$32,MATCH(COUNTIF(V21:AE21,PVO!A$20),ETAPP!A$1:A$32,0))&amp;INDEX(ETAPP!B$1:B$32,MATCH(COUNTIF(V21:AE21,PVO!A$21),ETAPP!A$1:A$32,0))&amp;INDEX(ETAPP!B$1:B$32,MATCH(COUNTIF(V21:AE21,PVO!A$22),ETAPP!A$1:A$32,0))</f>
        <v>0000000A0000AAAAB0A00A</v>
      </c>
      <c r="P21" s="268" t="str">
        <f t="shared" si="2"/>
        <v>053,5-0000000A0000AAAAB0A00A</v>
      </c>
      <c r="Q21" s="268">
        <f>COUNTIF(P$7:P$66,"&gt;="&amp;P21)</f>
        <v>15</v>
      </c>
      <c r="R21" s="268">
        <f>COUNTIF(I$7:I$66,"&gt;="&amp;I21)</f>
        <v>6</v>
      </c>
      <c r="S21" s="268" t="str">
        <f t="shared" si="3"/>
        <v>053,5-0000000A0000AAAAB0A00A-006</v>
      </c>
      <c r="T21" s="268">
        <f>COUNTIF(S$7:S$66,"&gt;="&amp;S21)</f>
        <v>15</v>
      </c>
      <c r="U21" s="832">
        <f>RANK(T21,T$7:T$66,0)</f>
        <v>46</v>
      </c>
      <c r="V21" s="210">
        <f>IFERROR(INDEX('V1'!C$300:C$400,MATCH("*"&amp;I21&amp;"*",'V1'!B$300:B$400,0)),"  ")</f>
        <v>2</v>
      </c>
      <c r="W21" s="210">
        <f>IFERROR(INDEX('V2'!C$300:C$400,MATCH("*"&amp;I21&amp;"*",'V2'!B$300:B$400,0)),"  ")</f>
        <v>4</v>
      </c>
      <c r="X21" s="210">
        <f>IFERROR(INDEX('V3'!C$300:C$400,MATCH("*"&amp;I21&amp;"*",'V3'!B$300:B$400,0)),"  ")</f>
        <v>4</v>
      </c>
      <c r="Y21" s="210">
        <f>IFERROR(INDEX('V4'!C$300:C$400,MATCH("*"&amp;I21&amp;"*",'V4'!B$300:B$400,0)),"  ")</f>
        <v>5</v>
      </c>
      <c r="Z21" s="210">
        <f>IFERROR(INDEX('V5'!C$300:C$400,MATCH("*"&amp;I21&amp;"*",'V5'!B$300:B$400,0)),"  ")</f>
        <v>13</v>
      </c>
      <c r="AA21" s="210" t="str">
        <f>IFERROR(INDEX('V6'!C$300:C$400,MATCH("*"&amp;I21&amp;"*",'V6'!B$300:B$400,0)),"  ")</f>
        <v xml:space="preserve">  </v>
      </c>
      <c r="AB21" s="210">
        <f>IFERROR(INDEX('V7'!C$300:C$400,MATCH("*"&amp;I21&amp;"*",'V7'!B$300:B$400,0)),"  ")</f>
        <v>7</v>
      </c>
      <c r="AC21" s="210">
        <f>IFERROR(INDEX('V8'!C$300:C$400,MATCH("*"&amp;I21&amp;"*",'V8'!B$300:B$400,0)),"  ")</f>
        <v>4.5</v>
      </c>
      <c r="AD21" s="210">
        <f>IFERROR(INDEX('V9'!C$300:C$400,MATCH("*"&amp;I21&amp;"*",'V9'!B$300:B$400,0)),"  ")</f>
        <v>8</v>
      </c>
      <c r="AE21" s="210">
        <f>IFERROR(INDEX('V10'!C$300:C$400,MATCH("*"&amp;I21&amp;"*",'V10'!B$300:B$400,0)),"  ")</f>
        <v>6</v>
      </c>
      <c r="AF21" s="211">
        <f t="shared" si="4"/>
        <v>1</v>
      </c>
      <c r="AG21" s="211">
        <f t="shared" si="8"/>
        <v>46</v>
      </c>
      <c r="AH21" s="1362" t="str">
        <f>IFERROR(IF(COUNTIF(V21:AE21,"&gt;0")&gt;=3,"edasi ","puudu "&amp;3-COUNT(V21:AE21))&amp;IF(OR(COUNTIF(V21:AE21,"&gt;0")&lt;3,COUNTIF(AE$7:AE$66,"&gt;0")=0),"",RANK(AG21,AG$7:AG$66,0)),"")</f>
        <v>edasi 15</v>
      </c>
      <c r="AI21" s="959">
        <f>IFERROR(INDEX('V-Fin'!A$300:A$325,MATCH(I21,'V-Fin'!B$300:B$325,0)),"")</f>
        <v>17</v>
      </c>
      <c r="AJ21" s="214">
        <f t="shared" si="5"/>
        <v>9</v>
      </c>
      <c r="AK21" s="212">
        <f>IFERROR(IF(V21+1&gt;LARGE(V$7:V$66,1)-2,1),0)+IFERROR(IF(W21+1&gt;LARGE(W$7:W$66,1)-2,1),0)+IFERROR(IF(X21+1&gt;LARGE(X$7:X$66,1)-2,1),0)+IFERROR(IF(Y21+1&gt;LARGE(Y$7:Y$66,1)-2,1),0)+IFERROR(IF(Z21+1&gt;LARGE(Z$7:Z$66,1)-2,1),0)+IFERROR(IF(AA21+1&gt;LARGE(AA$7:AA$66,1)-2,1),0)+IFERROR(IF(AB21+1&gt;LARGE(AB$7:AB$66,1)-2,1),0)+IFERROR(IF(AC21+1&gt;LARGE(AC$7:AC$66,1)-2,1),0)+IFERROR(IF(AD21+1&gt;LARGE(AD$7:AD$66,1)-2,1),0)+IFERROR(IF(AE21+1&gt;LARGE(AE$7:AE$66,1)-2,1),0)</f>
        <v>1</v>
      </c>
      <c r="AL21" s="212">
        <f>IF(V21=0,0,IF(V21=IFERROR(LARGE(V$7:V$66,1),0),1,0))+IF(W21=0,0,IF(W21=IFERROR(LARGE(W$7:W$66,1),0),1,0))+IF(X21=0,0,IF(X21=IFERROR(LARGE(X$7:X$66,1),0),1,0))+IF(Y21=0,0,IF(Y21=IFERROR(LARGE(Y$7:Y$66,1),0),1,0))+IF(Z21=0,0,IF(Z21=IFERROR(LARGE(Z$7:Z$66,1),0),1,0))+IF(AA21=0,0,IF(AA21=IFERROR(LARGE(AA$7:AA$66,1),0),1,0))+IF(AB21=0,0,IF(AB21=IFERROR(LARGE(AB$7:AB$66,1),0),1,0))+IF(AC21=0,0,IF(AC21=IFERROR(LARGE(AC$7:AC$66,1),0),1,0))+IF(AD21=0,0,IF(AD21=IFERROR(LARGE(AD$7:AD$66,1),0),1,0))+IF(AE21=0,0,IF(AE21=IFERROR(LARGE(AE$7:AE$66,1),0),1,0))</f>
        <v>0</v>
      </c>
    </row>
    <row r="22" spans="1:38" x14ac:dyDescent="0.2">
      <c r="A22" s="1026" t="str">
        <f>IF(M22="k",RANK(B22,B$7:B$66,0),"")</f>
        <v/>
      </c>
      <c r="B22" s="266">
        <f t="shared" si="0"/>
        <v>0</v>
      </c>
      <c r="C22" s="944"/>
      <c r="D22" s="1029" t="str">
        <f>IF(J22="n",RANK(E22,E$7:E$66,0),"")</f>
        <v/>
      </c>
      <c r="E22" s="1028">
        <f t="shared" si="6"/>
        <v>0</v>
      </c>
      <c r="F22" s="1025" t="str">
        <f>IF(K22="j",RANK(G22,G$7:G$66,0),"")</f>
        <v/>
      </c>
      <c r="G22" s="266">
        <f t="shared" si="7"/>
        <v>0</v>
      </c>
      <c r="H22" s="209">
        <f>IF(N22&gt;0,RANK(Q22,Q$7:Q$66,1),"")</f>
        <v>16</v>
      </c>
      <c r="I22" s="267" t="s">
        <v>102</v>
      </c>
      <c r="J22" s="269"/>
      <c r="K22" s="270"/>
      <c r="L22" s="1381"/>
      <c r="M22" s="274"/>
      <c r="N22" s="1019">
        <f t="shared" si="1"/>
        <v>48</v>
      </c>
      <c r="O22" s="268" t="str">
        <f>INDEX(ETAPP!B$1:B$32,MATCH(COUNTIF(V22:AE22,PVO!A$1),ETAPP!A$1:A$32,0))&amp;INDEX(ETAPP!B$1:B$32,MATCH(COUNTIF(V22:AE22,PVO!A$2),ETAPP!A$1:A$32,0))&amp;INDEX(ETAPP!B$1:B$32,MATCH(COUNTIF(V22:AE22,PVO!A$3),ETAPP!A$1:A$32,0))&amp;INDEX(ETAPP!B$1:B$32,MATCH(COUNTIF(V22:AE22,PVO!A$4),ETAPP!A$1:A$32,0))&amp;INDEX(ETAPP!B$1:B$32,MATCH(COUNTIF(V22:AE22,PVO!A$5),ETAPP!A$1:A$32,0))&amp;INDEX(ETAPP!B$1:B$32,MATCH(COUNTIF(V22:AE22,PVO!A$6),ETAPP!A$1:A$32,0))&amp;INDEX(ETAPP!B$1:B$32,MATCH(COUNTIF(V22:AE22,PVO!A$7),ETAPP!A$1:A$32,0))&amp;INDEX(ETAPP!B$1:B$32,MATCH(COUNTIF(V22:AE22,PVO!A$8),ETAPP!A$1:A$32,0))&amp;INDEX(ETAPP!B$1:B$32,MATCH(COUNTIF(V22:AE22,PVO!A$9),ETAPP!A$1:A$32,0))&amp;INDEX(ETAPP!B$1:B$32,MATCH(COUNTIF(V22:AE22,PVO!A$10),ETAPP!A$1:A$32,0))&amp;INDEX(ETAPP!B$1:B$32,MATCH(COUNTIF(V22:AE22,PVO!A$11),ETAPP!A$1:A$32,0))&amp;INDEX(ETAPP!B$1:B$32,MATCH(COUNTIF(V22:AE22,PVO!A$12),ETAPP!A$1:A$32,0))&amp;INDEX(ETAPP!B$1:B$32,MATCH(COUNTIF(V22:AE22,PVO!A$13),ETAPP!A$1:A$32,0))&amp;INDEX(ETAPP!B$1:B$32,MATCH(COUNTIF(V22:AE22,PVO!A$14),ETAPP!A$1:A$32,0))&amp;INDEX(ETAPP!B$1:B$32,MATCH(COUNTIF(V22:AE22,PVO!A$15),ETAPP!A$1:A$32,0))&amp;INDEX(ETAPP!B$1:B$32,MATCH(COUNTIF(V22:AE22,PVO!A$16),ETAPP!A$1:A$32,0))&amp;INDEX(ETAPP!B$1:B$32,MATCH(COUNTIF(V22:AE22,PVO!A$17),ETAPP!A$1:A$32,0))&amp;INDEX(ETAPP!B$1:B$32,MATCH(COUNTIF(V22:AE22,PVO!A$18),ETAPP!A$1:A$32,0))&amp;INDEX(ETAPP!B$1:B$32,MATCH(COUNTIF(V22:AE22,PVO!A$19),ETAPP!A$1:A$32,0))&amp;INDEX(ETAPP!B$1:B$32,MATCH(COUNTIF(V22:AE22,PVO!A$20),ETAPP!A$1:A$32,0))&amp;INDEX(ETAPP!B$1:B$32,MATCH(COUNTIF(V22:AE22,PVO!A$21),ETAPP!A$1:A$32,0))&amp;INDEX(ETAPP!B$1:B$32,MATCH(COUNTIF(V22:AE22,PVO!A$22),ETAPP!A$1:A$32,0))</f>
        <v>00000000A00000B000000E</v>
      </c>
      <c r="P22" s="268" t="str">
        <f t="shared" si="2"/>
        <v>048,0-00000000A00000B000000E</v>
      </c>
      <c r="Q22" s="268">
        <f>COUNTIF(P$7:P$66,"&gt;="&amp;P22)</f>
        <v>16</v>
      </c>
      <c r="R22" s="268">
        <f>COUNTIF(I$7:I$66,"&gt;="&amp;I22)</f>
        <v>3</v>
      </c>
      <c r="S22" s="268" t="str">
        <f t="shared" si="3"/>
        <v>048,0-00000000A00000B000000E-003</v>
      </c>
      <c r="T22" s="268">
        <f>COUNTIF(S$7:S$66,"&gt;="&amp;S22)</f>
        <v>16</v>
      </c>
      <c r="U22" s="832">
        <f>RANK(T22,T$7:T$66,0)</f>
        <v>45</v>
      </c>
      <c r="V22" s="210">
        <f>IFERROR(INDEX('V1'!C$300:C$400,MATCH("*"&amp;I22&amp;"*",'V1'!B$300:B$400,0)),"  ")</f>
        <v>12</v>
      </c>
      <c r="W22" s="210" t="str">
        <f>IFERROR(INDEX('V2'!C$300:C$400,MATCH("*"&amp;I22&amp;"*",'V2'!B$300:B$400,0)),"  ")</f>
        <v xml:space="preserve">  </v>
      </c>
      <c r="X22" s="210">
        <f>IFERROR(INDEX('V3'!C$300:C$400,MATCH("*"&amp;I22&amp;"*",'V3'!B$300:B$400,0)),"  ")</f>
        <v>12.5</v>
      </c>
      <c r="Y22" s="210">
        <f>IFERROR(INDEX('V4'!C$300:C$400,MATCH("*"&amp;I22&amp;"*",'V4'!B$300:B$400,0)),"  ")</f>
        <v>6</v>
      </c>
      <c r="Z22" s="210">
        <f>IFERROR(INDEX('V5'!C$300:C$400,MATCH("*"&amp;I22&amp;"*",'V5'!B$300:B$400,0)),"  ")</f>
        <v>11.5</v>
      </c>
      <c r="AA22" s="210">
        <f>IFERROR(INDEX('V6'!C$300:C$400,MATCH("*"&amp;I22&amp;"*",'V6'!B$300:B$400,0)),"  ")</f>
        <v>6</v>
      </c>
      <c r="AB22" s="210" t="str">
        <f>IFERROR(INDEX('V7'!C$300:C$400,MATCH("*"&amp;I22&amp;"*",'V7'!B$300:B$400,0)),"  ")</f>
        <v xml:space="preserve">  </v>
      </c>
      <c r="AC22" s="210" t="str">
        <f>IFERROR(INDEX('V8'!C$300:C$400,MATCH("*"&amp;I22&amp;"*",'V8'!B$300:B$400,0)),"  ")</f>
        <v xml:space="preserve">  </v>
      </c>
      <c r="AD22" s="210" t="str">
        <f>IFERROR(INDEX('V9'!C$300:C$400,MATCH("*"&amp;I22&amp;"*",'V9'!B$300:B$400,0)),"  ")</f>
        <v xml:space="preserve">  </v>
      </c>
      <c r="AE22" s="210" t="str">
        <f>IFERROR(INDEX('V10'!C$300:C$400,MATCH("*"&amp;I22&amp;"*",'V10'!B$300:B$400,0)),"  ")</f>
        <v xml:space="preserve">  </v>
      </c>
      <c r="AF22" s="211">
        <f t="shared" si="4"/>
        <v>1</v>
      </c>
      <c r="AG22" s="211">
        <f t="shared" si="8"/>
        <v>45</v>
      </c>
      <c r="AH22" s="1362" t="str">
        <f>IFERROR(IF(COUNTIF(V22:AE22,"&gt;0")&gt;=3,"edasi ","puudu "&amp;3-COUNT(V22:AE22))&amp;IF(OR(COUNTIF(V22:AE22,"&gt;0")&lt;3,COUNTIF(AE$7:AE$66,"&gt;0")=0),"",RANK(AG22,AG$7:AG$66,0)),"")</f>
        <v>edasi 16</v>
      </c>
      <c r="AI22" s="959">
        <f>IFERROR(INDEX('V-Fin'!A$300:A$325,MATCH(I22,'V-Fin'!B$300:B$325,0)),"")</f>
        <v>16</v>
      </c>
      <c r="AJ22" s="214">
        <f t="shared" si="5"/>
        <v>5</v>
      </c>
      <c r="AK22" s="212">
        <f>IFERROR(IF(V22+1&gt;LARGE(V$7:V$66,1)-2,1),0)+IFERROR(IF(W22+1&gt;LARGE(W$7:W$66,1)-2,1),0)+IFERROR(IF(X22+1&gt;LARGE(X$7:X$66,1)-2,1),0)+IFERROR(IF(Y22+1&gt;LARGE(Y$7:Y$66,1)-2,1),0)+IFERROR(IF(Z22+1&gt;LARGE(Z$7:Z$66,1)-2,1),0)+IFERROR(IF(AA22+1&gt;LARGE(AA$7:AA$66,1)-2,1),0)+IFERROR(IF(AB22+1&gt;LARGE(AB$7:AB$66,1)-2,1),0)+IFERROR(IF(AC22+1&gt;LARGE(AC$7:AC$66,1)-2,1),0)+IFERROR(IF(AD22+1&gt;LARGE(AD$7:AD$66,1)-2,1),0)+IFERROR(IF(AE22+1&gt;LARGE(AE$7:AE$66,1)-2,1),0)</f>
        <v>3</v>
      </c>
      <c r="AL22" s="212">
        <f>IF(V22=0,0,IF(V22=IFERROR(LARGE(V$7:V$66,1),0),1,0))+IF(W22=0,0,IF(W22=IFERROR(LARGE(W$7:W$66,1),0),1,0))+IF(X22=0,0,IF(X22=IFERROR(LARGE(X$7:X$66,1),0),1,0))+IF(Y22=0,0,IF(Y22=IFERROR(LARGE(Y$7:Y$66,1),0),1,0))+IF(Z22=0,0,IF(Z22=IFERROR(LARGE(Z$7:Z$66,1),0),1,0))+IF(AA22=0,0,IF(AA22=IFERROR(LARGE(AA$7:AA$66,1),0),1,0))+IF(AB22=0,0,IF(AB22=IFERROR(LARGE(AB$7:AB$66,1),0),1,0))+IF(AC22=0,0,IF(AC22=IFERROR(LARGE(AC$7:AC$66,1),0),1,0))+IF(AD22=0,0,IF(AD22=IFERROR(LARGE(AD$7:AD$66,1),0),1,0))+IF(AE22=0,0,IF(AE22=IFERROR(LARGE(AE$7:AE$66,1),0),1,0))</f>
        <v>1</v>
      </c>
    </row>
    <row r="23" spans="1:38" x14ac:dyDescent="0.2">
      <c r="A23" s="1026">
        <f>IF(M23="k",RANK(B23,B$7:B$66,0),"")</f>
        <v>7</v>
      </c>
      <c r="B23" s="266">
        <f t="shared" si="0"/>
        <v>10046.5</v>
      </c>
      <c r="C23" s="944"/>
      <c r="D23" s="1029" t="str">
        <f>IF(J23="n",RANK(E23,E$7:E$66,0),"")</f>
        <v/>
      </c>
      <c r="E23" s="1028">
        <f t="shared" si="6"/>
        <v>0</v>
      </c>
      <c r="F23" s="1025">
        <f>IF(K23="j",RANK(G23,G$7:G$66,0),"")</f>
        <v>2</v>
      </c>
      <c r="G23" s="266">
        <f t="shared" si="7"/>
        <v>10046.5</v>
      </c>
      <c r="H23" s="209">
        <f>IF(N23&gt;0,RANK(Q23,Q$7:Q$66,1),"")</f>
        <v>17</v>
      </c>
      <c r="I23" s="267" t="s">
        <v>125</v>
      </c>
      <c r="J23" s="269"/>
      <c r="K23" s="611" t="s">
        <v>138</v>
      </c>
      <c r="L23" s="1382" t="s">
        <v>647</v>
      </c>
      <c r="M23" s="274" t="s">
        <v>187</v>
      </c>
      <c r="N23" s="1019">
        <f t="shared" si="1"/>
        <v>46.5</v>
      </c>
      <c r="O23" s="268" t="str">
        <f>INDEX(ETAPP!B$1:B$32,MATCH(COUNTIF(V23:AE23,PVO!A$1),ETAPP!A$1:A$32,0))&amp;INDEX(ETAPP!B$1:B$32,MATCH(COUNTIF(V23:AE23,PVO!A$2),ETAPP!A$1:A$32,0))&amp;INDEX(ETAPP!B$1:B$32,MATCH(COUNTIF(V23:AE23,PVO!A$3),ETAPP!A$1:A$32,0))&amp;INDEX(ETAPP!B$1:B$32,MATCH(COUNTIF(V23:AE23,PVO!A$4),ETAPP!A$1:A$32,0))&amp;INDEX(ETAPP!B$1:B$32,MATCH(COUNTIF(V23:AE23,PVO!A$5),ETAPP!A$1:A$32,0))&amp;INDEX(ETAPP!B$1:B$32,MATCH(COUNTIF(V23:AE23,PVO!A$6),ETAPP!A$1:A$32,0))&amp;INDEX(ETAPP!B$1:B$32,MATCH(COUNTIF(V23:AE23,PVO!A$7),ETAPP!A$1:A$32,0))&amp;INDEX(ETAPP!B$1:B$32,MATCH(COUNTIF(V23:AE23,PVO!A$8),ETAPP!A$1:A$32,0))&amp;INDEX(ETAPP!B$1:B$32,MATCH(COUNTIF(V23:AE23,PVO!A$9),ETAPP!A$1:A$32,0))&amp;INDEX(ETAPP!B$1:B$32,MATCH(COUNTIF(V23:AE23,PVO!A$10),ETAPP!A$1:A$32,0))&amp;INDEX(ETAPP!B$1:B$32,MATCH(COUNTIF(V23:AE23,PVO!A$11),ETAPP!A$1:A$32,0))&amp;INDEX(ETAPP!B$1:B$32,MATCH(COUNTIF(V23:AE23,PVO!A$12),ETAPP!A$1:A$32,0))&amp;INDEX(ETAPP!B$1:B$32,MATCH(COUNTIF(V23:AE23,PVO!A$13),ETAPP!A$1:A$32,0))&amp;INDEX(ETAPP!B$1:B$32,MATCH(COUNTIF(V23:AE23,PVO!A$14),ETAPP!A$1:A$32,0))&amp;INDEX(ETAPP!B$1:B$32,MATCH(COUNTIF(V23:AE23,PVO!A$15),ETAPP!A$1:A$32,0))&amp;INDEX(ETAPP!B$1:B$32,MATCH(COUNTIF(V23:AE23,PVO!A$16),ETAPP!A$1:A$32,0))&amp;INDEX(ETAPP!B$1:B$32,MATCH(COUNTIF(V23:AE23,PVO!A$17),ETAPP!A$1:A$32,0))&amp;INDEX(ETAPP!B$1:B$32,MATCH(COUNTIF(V23:AE23,PVO!A$18),ETAPP!A$1:A$32,0))&amp;INDEX(ETAPP!B$1:B$32,MATCH(COUNTIF(V23:AE23,PVO!A$19),ETAPP!A$1:A$32,0))&amp;INDEX(ETAPP!B$1:B$32,MATCH(COUNTIF(V23:AE23,PVO!A$20),ETAPP!A$1:A$32,0))&amp;INDEX(ETAPP!B$1:B$32,MATCH(COUNTIF(V23:AE23,PVO!A$21),ETAPP!A$1:A$32,0))&amp;INDEX(ETAPP!B$1:B$32,MATCH(COUNTIF(V23:AE23,PVO!A$22),ETAPP!A$1:A$32,0))</f>
        <v>00000A000000A0AA0A0A0C</v>
      </c>
      <c r="P23" s="268" t="str">
        <f t="shared" si="2"/>
        <v>046,5-00000A000000A0AA0A0A0C</v>
      </c>
      <c r="Q23" s="268">
        <f>COUNTIF(P$7:P$66,"&gt;="&amp;P23)</f>
        <v>17</v>
      </c>
      <c r="R23" s="268">
        <f>COUNTIF(I$7:I$66,"&gt;="&amp;I23)</f>
        <v>45</v>
      </c>
      <c r="S23" s="268" t="str">
        <f t="shared" si="3"/>
        <v>046,5-00000A000000A0AA0A0A0C-045</v>
      </c>
      <c r="T23" s="268">
        <f>COUNTIF(S$7:S$66,"&gt;="&amp;S23)</f>
        <v>17</v>
      </c>
      <c r="U23" s="832">
        <f>RANK(T23,T$7:T$66,0)</f>
        <v>44</v>
      </c>
      <c r="V23" s="210">
        <f>IFERROR(INDEX('V1'!C$300:C$400,MATCH("*"&amp;I23&amp;"*",'V1'!B$300:B$400,0)),"  ")</f>
        <v>6</v>
      </c>
      <c r="W23" s="210">
        <f>IFERROR(INDEX('V2'!C$300:C$400,MATCH("*"&amp;I23&amp;"*",'V2'!B$300:B$400,0)),"  ")</f>
        <v>15</v>
      </c>
      <c r="X23" s="210">
        <f>IFERROR(INDEX('V3'!C$300:C$400,MATCH("*"&amp;I23&amp;"*",'V3'!B$300:B$400,0)),"  ")</f>
        <v>1</v>
      </c>
      <c r="Y23" s="210">
        <f>IFERROR(INDEX('V4'!C$300:C$400,MATCH("*"&amp;I23&amp;"*",'V4'!B$300:B$400,0)),"  ")</f>
        <v>8</v>
      </c>
      <c r="Z23" s="210">
        <f>IFERROR(INDEX('V5'!C$300:C$400,MATCH("*"&amp;I23&amp;"*",'V5'!B$300:B$400,0)),"  ")</f>
        <v>8.5</v>
      </c>
      <c r="AA23" s="210" t="str">
        <f>IFERROR(INDEX('V6'!C$300:C$400,MATCH("*"&amp;I23&amp;"*",'V6'!B$300:B$400,0)),"  ")</f>
        <v xml:space="preserve">  </v>
      </c>
      <c r="AB23" s="210" t="str">
        <f>IFERROR(INDEX('V7'!C$300:C$400,MATCH("*"&amp;I23&amp;"*",'V7'!B$300:B$400,0)),"  ")</f>
        <v xml:space="preserve">  </v>
      </c>
      <c r="AC23" s="210" t="str">
        <f>IFERROR(INDEX('V8'!C$300:C$400,MATCH("*"&amp;I23&amp;"*",'V8'!B$300:B$400,0)),"  ")</f>
        <v xml:space="preserve">  </v>
      </c>
      <c r="AD23" s="210">
        <f>IFERROR(INDEX('V9'!C$300:C$400,MATCH("*"&amp;I23&amp;"*",'V9'!B$300:B$400,0)),"  ")</f>
        <v>3</v>
      </c>
      <c r="AE23" s="210">
        <f>IFERROR(INDEX('V10'!C$300:C$400,MATCH("*"&amp;I23&amp;"*",'V10'!B$300:B$400,0)),"  ")</f>
        <v>5</v>
      </c>
      <c r="AF23" s="211">
        <f t="shared" si="4"/>
        <v>1</v>
      </c>
      <c r="AG23" s="211">
        <f t="shared" si="8"/>
        <v>44</v>
      </c>
      <c r="AH23" s="1362" t="str">
        <f>IFERROR(IF(COUNTIF(V23:AE23,"&gt;0")&gt;=3,"edasi ","puudu "&amp;3-COUNT(V23:AE23))&amp;IF(OR(COUNTIF(V23:AE23,"&gt;0")&lt;3,COUNTIF(AE$7:AE$66,"&gt;0")=0),"",RANK(AG23,AG$7:AG$66,0)),"")</f>
        <v>edasi 17</v>
      </c>
      <c r="AI23" s="959">
        <f>IFERROR(INDEX('V-Fin'!A$300:A$325,MATCH(I23,'V-Fin'!B$300:B$325,0)),"")</f>
        <v>6</v>
      </c>
      <c r="AJ23" s="214">
        <f t="shared" si="5"/>
        <v>7</v>
      </c>
      <c r="AK23" s="212">
        <f>IFERROR(IF(V23+1&gt;LARGE(V$7:V$66,1)-2,1),0)+IFERROR(IF(W23+1&gt;LARGE(W$7:W$66,1)-2,1),0)+IFERROR(IF(X23+1&gt;LARGE(X$7:X$66,1)-2,1),0)+IFERROR(IF(Y23+1&gt;LARGE(Y$7:Y$66,1)-2,1),0)+IFERROR(IF(Z23+1&gt;LARGE(Z$7:Z$66,1)-2,1),0)+IFERROR(IF(AA23+1&gt;LARGE(AA$7:AA$66,1)-2,1),0)+IFERROR(IF(AB23+1&gt;LARGE(AB$7:AB$66,1)-2,1),0)+IFERROR(IF(AC23+1&gt;LARGE(AC$7:AC$66,1)-2,1),0)+IFERROR(IF(AD23+1&gt;LARGE(AD$7:AD$66,1)-2,1),0)+IFERROR(IF(AE23+1&gt;LARGE(AE$7:AE$66,1)-2,1),0)</f>
        <v>1</v>
      </c>
      <c r="AL23" s="212">
        <f>IF(V23=0,0,IF(V23=IFERROR(LARGE(V$7:V$66,1),0),1,0))+IF(W23=0,0,IF(W23=IFERROR(LARGE(W$7:W$66,1),0),1,0))+IF(X23=0,0,IF(X23=IFERROR(LARGE(X$7:X$66,1),0),1,0))+IF(Y23=0,0,IF(Y23=IFERROR(LARGE(Y$7:Y$66,1),0),1,0))+IF(Z23=0,0,IF(Z23=IFERROR(LARGE(Z$7:Z$66,1),0),1,0))+IF(AA23=0,0,IF(AA23=IFERROR(LARGE(AA$7:AA$66,1),0),1,0))+IF(AB23=0,0,IF(AB23=IFERROR(LARGE(AB$7:AB$66,1),0),1,0))+IF(AC23=0,0,IF(AC23=IFERROR(LARGE(AC$7:AC$66,1),0),1,0))+IF(AD23=0,0,IF(AD23=IFERROR(LARGE(AD$7:AD$66,1),0),1,0))+IF(AE23=0,0,IF(AE23=IFERROR(LARGE(AE$7:AE$66,1),0),1,0))</f>
        <v>0</v>
      </c>
    </row>
    <row r="24" spans="1:38" x14ac:dyDescent="0.2">
      <c r="A24" s="1026" t="str">
        <f>IF(M24="k",RANK(B24,B$7:B$66,0),"")</f>
        <v/>
      </c>
      <c r="B24" s="266">
        <f t="shared" si="0"/>
        <v>0</v>
      </c>
      <c r="C24" s="944"/>
      <c r="D24" s="1029" t="str">
        <f>IF(J24="n",RANK(E24,E$7:E$66,0),"")</f>
        <v/>
      </c>
      <c r="E24" s="1028">
        <f t="shared" si="6"/>
        <v>0</v>
      </c>
      <c r="F24" s="1025" t="str">
        <f>IF(K24="j",RANK(G24,G$7:G$66,0),"")</f>
        <v/>
      </c>
      <c r="G24" s="266">
        <f t="shared" si="7"/>
        <v>0</v>
      </c>
      <c r="H24" s="209">
        <f>IF(N24&gt;0,RANK(Q24,Q$7:Q$66,1),"")</f>
        <v>18</v>
      </c>
      <c r="I24" s="267" t="s">
        <v>115</v>
      </c>
      <c r="J24" s="269"/>
      <c r="K24" s="270"/>
      <c r="L24" s="1382" t="s">
        <v>647</v>
      </c>
      <c r="M24" s="274"/>
      <c r="N24" s="1019">
        <f t="shared" si="1"/>
        <v>46.5</v>
      </c>
      <c r="O24" s="268" t="str">
        <f>INDEX(ETAPP!B$1:B$32,MATCH(COUNTIF(V24:AE24,PVO!A$1),ETAPP!A$1:A$32,0))&amp;INDEX(ETAPP!B$1:B$32,MATCH(COUNTIF(V24:AE24,PVO!A$2),ETAPP!A$1:A$32,0))&amp;INDEX(ETAPP!B$1:B$32,MATCH(COUNTIF(V24:AE24,PVO!A$3),ETAPP!A$1:A$32,0))&amp;INDEX(ETAPP!B$1:B$32,MATCH(COUNTIF(V24:AE24,PVO!A$4),ETAPP!A$1:A$32,0))&amp;INDEX(ETAPP!B$1:B$32,MATCH(COUNTIF(V24:AE24,PVO!A$5),ETAPP!A$1:A$32,0))&amp;INDEX(ETAPP!B$1:B$32,MATCH(COUNTIF(V24:AE24,PVO!A$6),ETAPP!A$1:A$32,0))&amp;INDEX(ETAPP!B$1:B$32,MATCH(COUNTIF(V24:AE24,PVO!A$7),ETAPP!A$1:A$32,0))&amp;INDEX(ETAPP!B$1:B$32,MATCH(COUNTIF(V24:AE24,PVO!A$8),ETAPP!A$1:A$32,0))&amp;INDEX(ETAPP!B$1:B$32,MATCH(COUNTIF(V24:AE24,PVO!A$9),ETAPP!A$1:A$32,0))&amp;INDEX(ETAPP!B$1:B$32,MATCH(COUNTIF(V24:AE24,PVO!A$10),ETAPP!A$1:A$32,0))&amp;INDEX(ETAPP!B$1:B$32,MATCH(COUNTIF(V24:AE24,PVO!A$11),ETAPP!A$1:A$32,0))&amp;INDEX(ETAPP!B$1:B$32,MATCH(COUNTIF(V24:AE24,PVO!A$12),ETAPP!A$1:A$32,0))&amp;INDEX(ETAPP!B$1:B$32,MATCH(COUNTIF(V24:AE24,PVO!A$13),ETAPP!A$1:A$32,0))&amp;INDEX(ETAPP!B$1:B$32,MATCH(COUNTIF(V24:AE24,PVO!A$14),ETAPP!A$1:A$32,0))&amp;INDEX(ETAPP!B$1:B$32,MATCH(COUNTIF(V24:AE24,PVO!A$15),ETAPP!A$1:A$32,0))&amp;INDEX(ETAPP!B$1:B$32,MATCH(COUNTIF(V24:AE24,PVO!A$16),ETAPP!A$1:A$32,0))&amp;INDEX(ETAPP!B$1:B$32,MATCH(COUNTIF(V24:AE24,PVO!A$17),ETAPP!A$1:A$32,0))&amp;INDEX(ETAPP!B$1:B$32,MATCH(COUNTIF(V24:AE24,PVO!A$18),ETAPP!A$1:A$32,0))&amp;INDEX(ETAPP!B$1:B$32,MATCH(COUNTIF(V24:AE24,PVO!A$19),ETAPP!A$1:A$32,0))&amp;INDEX(ETAPP!B$1:B$32,MATCH(COUNTIF(V24:AE24,PVO!A$20),ETAPP!A$1:A$32,0))&amp;INDEX(ETAPP!B$1:B$32,MATCH(COUNTIF(V24:AE24,PVO!A$21),ETAPP!A$1:A$32,0))&amp;INDEX(ETAPP!B$1:B$32,MATCH(COUNTIF(V24:AE24,PVO!A$22),ETAPP!A$1:A$32,0))</f>
        <v>00000000000AA0AA0A0B00</v>
      </c>
      <c r="P24" s="268" t="str">
        <f t="shared" si="2"/>
        <v>046,5-00000000000AA0AA0A0B00</v>
      </c>
      <c r="Q24" s="268">
        <f>COUNTIF(P$7:P$66,"&gt;="&amp;P24)</f>
        <v>18</v>
      </c>
      <c r="R24" s="268">
        <f>COUNTIF(I$7:I$66,"&gt;="&amp;I24)</f>
        <v>36</v>
      </c>
      <c r="S24" s="268" t="str">
        <f t="shared" si="3"/>
        <v>046,5-00000000000AA0AA0A0B00-036</v>
      </c>
      <c r="T24" s="268">
        <f>COUNTIF(S$7:S$66,"&gt;="&amp;S24)</f>
        <v>18</v>
      </c>
      <c r="U24" s="832">
        <f>RANK(T24,T$7:T$66,0)</f>
        <v>43</v>
      </c>
      <c r="V24" s="210">
        <f>IFERROR(INDEX('V1'!C$300:C$400,MATCH("*"&amp;I24&amp;"*",'V1'!B$300:B$400,0)),"  ")</f>
        <v>9</v>
      </c>
      <c r="W24" s="210">
        <f>IFERROR(INDEX('V2'!C$300:C$400,MATCH("*"&amp;I24&amp;"*",'V2'!B$300:B$400,0)),"  ")</f>
        <v>3</v>
      </c>
      <c r="X24" s="210">
        <f>IFERROR(INDEX('V3'!C$300:C$400,MATCH("*"&amp;I24&amp;"*",'V3'!B$300:B$400,0)),"  ")</f>
        <v>8</v>
      </c>
      <c r="Y24" s="210">
        <f>IFERROR(INDEX('V4'!C$300:C$400,MATCH("*"&amp;I24&amp;"*",'V4'!B$300:B$400,0)),"  ")</f>
        <v>1</v>
      </c>
      <c r="Z24" s="210">
        <f>IFERROR(INDEX('V5'!C$300:C$400,MATCH("*"&amp;I24&amp;"*",'V5'!B$300:B$400,0)),"  ")</f>
        <v>5.5</v>
      </c>
      <c r="AA24" s="210">
        <f>IFERROR(INDEX('V6'!C$300:C$400,MATCH("*"&amp;I24&amp;"*",'V6'!B$300:B$400,0)),"  ")</f>
        <v>2.5</v>
      </c>
      <c r="AB24" s="210">
        <f>IFERROR(INDEX('V7'!C$300:C$400,MATCH("*"&amp;I24&amp;"*",'V7'!B$300:B$400,0)),"  ")</f>
        <v>5</v>
      </c>
      <c r="AC24" s="210">
        <f>IFERROR(INDEX('V8'!C$300:C$400,MATCH("*"&amp;I24&amp;"*",'V8'!B$300:B$400,0)),"  ")</f>
        <v>6</v>
      </c>
      <c r="AD24" s="210">
        <f>IFERROR(INDEX('V9'!C$300:C$400,MATCH("*"&amp;I24&amp;"*",'V9'!B$300:B$400,0)),"  ")</f>
        <v>5.5</v>
      </c>
      <c r="AE24" s="210">
        <f>IFERROR(INDEX('V10'!C$300:C$400,MATCH("*"&amp;I24&amp;"*",'V10'!B$300:B$400,0)),"  ")</f>
        <v>1</v>
      </c>
      <c r="AF24" s="211">
        <f t="shared" si="4"/>
        <v>1</v>
      </c>
      <c r="AG24" s="211">
        <f t="shared" si="8"/>
        <v>43</v>
      </c>
      <c r="AH24" s="1362" t="str">
        <f>IFERROR(IF(COUNTIF(V24:AE24,"&gt;0")&gt;=3,"edasi ","puudu "&amp;3-COUNT(V24:AE24))&amp;IF(OR(COUNTIF(V24:AE24,"&gt;0")&lt;3,COUNTIF(AE$7:AE$66,"&gt;0")=0),"",RANK(AG24,AG$7:AG$66,0)),"")</f>
        <v>edasi 18</v>
      </c>
      <c r="AI24" s="959">
        <f>IFERROR(INDEX('V-Fin'!A$300:A$325,MATCH(I24,'V-Fin'!B$300:B$325,0)),"")</f>
        <v>10</v>
      </c>
      <c r="AJ24" s="214">
        <f t="shared" si="5"/>
        <v>10</v>
      </c>
      <c r="AK24" s="212">
        <f>IFERROR(IF(V24+1&gt;LARGE(V$7:V$66,1)-2,1),0)+IFERROR(IF(W24+1&gt;LARGE(W$7:W$66,1)-2,1),0)+IFERROR(IF(X24+1&gt;LARGE(X$7:X$66,1)-2,1),0)+IFERROR(IF(Y24+1&gt;LARGE(Y$7:Y$66,1)-2,1),0)+IFERROR(IF(Z24+1&gt;LARGE(Z$7:Z$66,1)-2,1),0)+IFERROR(IF(AA24+1&gt;LARGE(AA$7:AA$66,1)-2,1),0)+IFERROR(IF(AB24+1&gt;LARGE(AB$7:AB$66,1)-2,1),0)+IFERROR(IF(AC24+1&gt;LARGE(AC$7:AC$66,1)-2,1),0)+IFERROR(IF(AD24+1&gt;LARGE(AD$7:AD$66,1)-2,1),0)+IFERROR(IF(AE24+1&gt;LARGE(AE$7:AE$66,1)-2,1),0)</f>
        <v>0</v>
      </c>
      <c r="AL24" s="212">
        <f>IF(V24=0,0,IF(V24=IFERROR(LARGE(V$7:V$66,1),0),1,0))+IF(W24=0,0,IF(W24=IFERROR(LARGE(W$7:W$66,1),0),1,0))+IF(X24=0,0,IF(X24=IFERROR(LARGE(X$7:X$66,1),0),1,0))+IF(Y24=0,0,IF(Y24=IFERROR(LARGE(Y$7:Y$66,1),0),1,0))+IF(Z24=0,0,IF(Z24=IFERROR(LARGE(Z$7:Z$66,1),0),1,0))+IF(AA24=0,0,IF(AA24=IFERROR(LARGE(AA$7:AA$66,1),0),1,0))+IF(AB24=0,0,IF(AB24=IFERROR(LARGE(AB$7:AB$66,1),0),1,0))+IF(AC24=0,0,IF(AC24=IFERROR(LARGE(AC$7:AC$66,1),0),1,0))+IF(AD24=0,0,IF(AD24=IFERROR(LARGE(AD$7:AD$66,1),0),1,0))+IF(AE24=0,0,IF(AE24=IFERROR(LARGE(AE$7:AE$66,1),0),1,0))</f>
        <v>0</v>
      </c>
    </row>
    <row r="25" spans="1:38" x14ac:dyDescent="0.2">
      <c r="A25" s="1026" t="str">
        <f>IF(M25="k",RANK(B25,B$7:B$66,0),"")</f>
        <v/>
      </c>
      <c r="B25" s="266">
        <f t="shared" si="0"/>
        <v>0</v>
      </c>
      <c r="C25" s="944"/>
      <c r="D25" s="1029" t="str">
        <f>IF(J25="n",RANK(E25,E$7:E$66,0),"")</f>
        <v/>
      </c>
      <c r="E25" s="1028">
        <f t="shared" si="6"/>
        <v>0</v>
      </c>
      <c r="F25" s="1025" t="str">
        <f>IF(K25="j",RANK(G25,G$7:G$66,0),"")</f>
        <v/>
      </c>
      <c r="G25" s="266">
        <f t="shared" si="7"/>
        <v>0</v>
      </c>
      <c r="H25" s="209">
        <f>IF(N25&gt;0,RANK(Q25,Q$7:Q$66,1),"")</f>
        <v>19</v>
      </c>
      <c r="I25" s="213" t="s">
        <v>113</v>
      </c>
      <c r="J25" s="269"/>
      <c r="K25" s="270"/>
      <c r="L25" s="1381"/>
      <c r="M25" s="274"/>
      <c r="N25" s="1019">
        <f t="shared" si="1"/>
        <v>45.5</v>
      </c>
      <c r="O25" s="268" t="str">
        <f>INDEX(ETAPP!B$1:B$32,MATCH(COUNTIF(V25:AE25,PVO!A$1),ETAPP!A$1:A$32,0))&amp;INDEX(ETAPP!B$1:B$32,MATCH(COUNTIF(V25:AE25,PVO!A$2),ETAPP!A$1:A$32,0))&amp;INDEX(ETAPP!B$1:B$32,MATCH(COUNTIF(V25:AE25,PVO!A$3),ETAPP!A$1:A$32,0))&amp;INDEX(ETAPP!B$1:B$32,MATCH(COUNTIF(V25:AE25,PVO!A$4),ETAPP!A$1:A$32,0))&amp;INDEX(ETAPP!B$1:B$32,MATCH(COUNTIF(V25:AE25,PVO!A$5),ETAPP!A$1:A$32,0))&amp;INDEX(ETAPP!B$1:B$32,MATCH(COUNTIF(V25:AE25,PVO!A$6),ETAPP!A$1:A$32,0))&amp;INDEX(ETAPP!B$1:B$32,MATCH(COUNTIF(V25:AE25,PVO!A$7),ETAPP!A$1:A$32,0))&amp;INDEX(ETAPP!B$1:B$32,MATCH(COUNTIF(V25:AE25,PVO!A$8),ETAPP!A$1:A$32,0))&amp;INDEX(ETAPP!B$1:B$32,MATCH(COUNTIF(V25:AE25,PVO!A$9),ETAPP!A$1:A$32,0))&amp;INDEX(ETAPP!B$1:B$32,MATCH(COUNTIF(V25:AE25,PVO!A$10),ETAPP!A$1:A$32,0))&amp;INDEX(ETAPP!B$1:B$32,MATCH(COUNTIF(V25:AE25,PVO!A$11),ETAPP!A$1:A$32,0))&amp;INDEX(ETAPP!B$1:B$32,MATCH(COUNTIF(V25:AE25,PVO!A$12),ETAPP!A$1:A$32,0))&amp;INDEX(ETAPP!B$1:B$32,MATCH(COUNTIF(V25:AE25,PVO!A$13),ETAPP!A$1:A$32,0))&amp;INDEX(ETAPP!B$1:B$32,MATCH(COUNTIF(V25:AE25,PVO!A$14),ETAPP!A$1:A$32,0))&amp;INDEX(ETAPP!B$1:B$32,MATCH(COUNTIF(V25:AE25,PVO!A$15),ETAPP!A$1:A$32,0))&amp;INDEX(ETAPP!B$1:B$32,MATCH(COUNTIF(V25:AE25,PVO!A$16),ETAPP!A$1:A$32,0))&amp;INDEX(ETAPP!B$1:B$32,MATCH(COUNTIF(V25:AE25,PVO!A$17),ETAPP!A$1:A$32,0))&amp;INDEX(ETAPP!B$1:B$32,MATCH(COUNTIF(V25:AE25,PVO!A$18),ETAPP!A$1:A$32,0))&amp;INDEX(ETAPP!B$1:B$32,MATCH(COUNTIF(V25:AE25,PVO!A$19),ETAPP!A$1:A$32,0))&amp;INDEX(ETAPP!B$1:B$32,MATCH(COUNTIF(V25:AE25,PVO!A$20),ETAPP!A$1:A$32,0))&amp;INDEX(ETAPP!B$1:B$32,MATCH(COUNTIF(V25:AE25,PVO!A$21),ETAPP!A$1:A$32,0))&amp;INDEX(ETAPP!B$1:B$32,MATCH(COUNTIF(V25:AE25,PVO!A$22),ETAPP!A$1:A$32,0))</f>
        <v>00000000000AA0AA0A0A0A</v>
      </c>
      <c r="P25" s="268" t="str">
        <f t="shared" si="2"/>
        <v>045,5-00000000000AA0AA0A0A0A</v>
      </c>
      <c r="Q25" s="268">
        <f>COUNTIF(P$7:P$66,"&gt;="&amp;P25)</f>
        <v>19</v>
      </c>
      <c r="R25" s="268">
        <f>COUNTIF(I$7:I$66,"&gt;="&amp;I25)</f>
        <v>30</v>
      </c>
      <c r="S25" s="268" t="str">
        <f t="shared" si="3"/>
        <v>045,5-00000000000AA0AA0A0A0A-030</v>
      </c>
      <c r="T25" s="268">
        <f>COUNTIF(S$7:S$66,"&gt;="&amp;S25)</f>
        <v>19</v>
      </c>
      <c r="U25" s="832">
        <f>RANK(T25,T$7:T$66,0)</f>
        <v>42</v>
      </c>
      <c r="V25" s="210">
        <f>IFERROR(INDEX('V1'!C$300:C$400,MATCH("*"&amp;I25&amp;"*",'V1'!B$300:B$400,0)),"  ")</f>
        <v>9</v>
      </c>
      <c r="W25" s="210">
        <f>IFERROR(INDEX('V2'!C$300:C$400,MATCH("*"&amp;I25&amp;"*",'V2'!B$300:B$400,0)),"  ")</f>
        <v>3</v>
      </c>
      <c r="X25" s="210">
        <f>IFERROR(INDEX('V3'!C$300:C$400,MATCH("*"&amp;I25&amp;"*",'V3'!B$300:B$400,0)),"  ")</f>
        <v>8</v>
      </c>
      <c r="Y25" s="210">
        <f>IFERROR(INDEX('V4'!C$300:C$400,MATCH("*"&amp;I25&amp;"*",'V4'!B$300:B$400,0)),"  ")</f>
        <v>1</v>
      </c>
      <c r="Z25" s="210">
        <f>IFERROR(INDEX('V5'!C$300:C$400,MATCH("*"&amp;I25&amp;"*",'V5'!B$300:B$400,0)),"  ")</f>
        <v>5.5</v>
      </c>
      <c r="AA25" s="210">
        <f>IFERROR(INDEX('V6'!C$300:C$400,MATCH("*"&amp;I25&amp;"*",'V6'!B$300:B$400,0)),"  ")</f>
        <v>2.5</v>
      </c>
      <c r="AB25" s="210">
        <f>IFERROR(INDEX('V7'!C$300:C$400,MATCH("*"&amp;I25&amp;"*",'V7'!B$300:B$400,0)),"  ")</f>
        <v>5</v>
      </c>
      <c r="AC25" s="210">
        <f>IFERROR(INDEX('V8'!C$300:C$400,MATCH("*"&amp;I25&amp;"*",'V8'!B$300:B$400,0)),"  ")</f>
        <v>6</v>
      </c>
      <c r="AD25" s="210">
        <f>IFERROR(INDEX('V9'!C$300:C$400,MATCH("*"&amp;I25&amp;"*",'V9'!B$300:B$400,0)),"  ")</f>
        <v>5.5</v>
      </c>
      <c r="AE25" s="210" t="str">
        <f>IFERROR(INDEX('V10'!C$300:C$400,MATCH("*"&amp;I25&amp;"*",'V10'!B$300:B$400,0)),"  ")</f>
        <v xml:space="preserve">  </v>
      </c>
      <c r="AF25" s="211">
        <f t="shared" si="4"/>
        <v>1</v>
      </c>
      <c r="AG25" s="211">
        <f t="shared" si="8"/>
        <v>42</v>
      </c>
      <c r="AH25" s="1362" t="str">
        <f>IFERROR(IF(COUNTIF(V25:AE25,"&gt;0")&gt;=3,"edasi ","puudu "&amp;3-COUNT(V25:AE25))&amp;IF(OR(COUNTIF(V25:AE25,"&gt;0")&lt;3,COUNTIF(AE$7:AE$66,"&gt;0")=0),"",RANK(AG25,AG$7:AG$66,0)),"")</f>
        <v>edasi 19</v>
      </c>
      <c r="AI25" s="959" t="str">
        <f>IFERROR(INDEX('V-Fin'!A$300:A$325,MATCH(I25,'V-Fin'!B$300:B$325,0)),"")</f>
        <v/>
      </c>
      <c r="AJ25" s="214">
        <f t="shared" si="5"/>
        <v>9</v>
      </c>
      <c r="AK25" s="212">
        <f>IFERROR(IF(V25+1&gt;LARGE(V$7:V$66,1)-2,1),0)+IFERROR(IF(W25+1&gt;LARGE(W$7:W$66,1)-2,1),0)+IFERROR(IF(X25+1&gt;LARGE(X$7:X$66,1)-2,1),0)+IFERROR(IF(Y25+1&gt;LARGE(Y$7:Y$66,1)-2,1),0)+IFERROR(IF(Z25+1&gt;LARGE(Z$7:Z$66,1)-2,1),0)+IFERROR(IF(AA25+1&gt;LARGE(AA$7:AA$66,1)-2,1),0)+IFERROR(IF(AB25+1&gt;LARGE(AB$7:AB$66,1)-2,1),0)+IFERROR(IF(AC25+1&gt;LARGE(AC$7:AC$66,1)-2,1),0)+IFERROR(IF(AD25+1&gt;LARGE(AD$7:AD$66,1)-2,1),0)+IFERROR(IF(AE25+1&gt;LARGE(AE$7:AE$66,1)-2,1),0)</f>
        <v>0</v>
      </c>
      <c r="AL25" s="212">
        <f>IF(V25=0,0,IF(V25=IFERROR(LARGE(V$7:V$66,1),0),1,0))+IF(W25=0,0,IF(W25=IFERROR(LARGE(W$7:W$66,1),0),1,0))+IF(X25=0,0,IF(X25=IFERROR(LARGE(X$7:X$66,1),0),1,0))+IF(Y25=0,0,IF(Y25=IFERROR(LARGE(Y$7:Y$66,1),0),1,0))+IF(Z25=0,0,IF(Z25=IFERROR(LARGE(Z$7:Z$66,1),0),1,0))+IF(AA25=0,0,IF(AA25=IFERROR(LARGE(AA$7:AA$66,1),0),1,0))+IF(AB25=0,0,IF(AB25=IFERROR(LARGE(AB$7:AB$66,1),0),1,0))+IF(AC25=0,0,IF(AC25=IFERROR(LARGE(AC$7:AC$66,1),0),1,0))+IF(AD25=0,0,IF(AD25=IFERROR(LARGE(AD$7:AD$66,1),0),1,0))+IF(AE25=0,0,IF(AE25=IFERROR(LARGE(AE$7:AE$66,1),0),1,0))</f>
        <v>0</v>
      </c>
    </row>
    <row r="26" spans="1:38" x14ac:dyDescent="0.2">
      <c r="A26" s="1026">
        <f>IF(M26="k",RANK(B26,B$7:B$66,0),"")</f>
        <v>8</v>
      </c>
      <c r="B26" s="266">
        <f t="shared" si="0"/>
        <v>10039.5</v>
      </c>
      <c r="C26" s="944"/>
      <c r="D26" s="1029" t="str">
        <f>IF(J26="n",RANK(E26,E$7:E$66,0),"")</f>
        <v/>
      </c>
      <c r="E26" s="1028">
        <f t="shared" si="6"/>
        <v>0</v>
      </c>
      <c r="F26" s="1025" t="str">
        <f>IF(K26="j",RANK(G26,G$7:G$66,0),"")</f>
        <v/>
      </c>
      <c r="G26" s="266">
        <f t="shared" si="7"/>
        <v>0</v>
      </c>
      <c r="H26" s="209">
        <f>IF(N26&gt;0,RANK(Q26,Q$7:Q$66,1),"")</f>
        <v>20</v>
      </c>
      <c r="I26" s="213" t="s">
        <v>117</v>
      </c>
      <c r="J26" s="269"/>
      <c r="K26" s="270"/>
      <c r="L26" s="1382" t="s">
        <v>647</v>
      </c>
      <c r="M26" s="274" t="s">
        <v>187</v>
      </c>
      <c r="N26" s="1019">
        <f t="shared" si="1"/>
        <v>39.5</v>
      </c>
      <c r="O26" s="268" t="str">
        <f>INDEX(ETAPP!B$1:B$32,MATCH(COUNTIF(V26:AE26,PVO!A$1),ETAPP!A$1:A$32,0))&amp;INDEX(ETAPP!B$1:B$32,MATCH(COUNTIF(V26:AE26,PVO!A$2),ETAPP!A$1:A$32,0))&amp;INDEX(ETAPP!B$1:B$32,MATCH(COUNTIF(V26:AE26,PVO!A$3),ETAPP!A$1:A$32,0))&amp;INDEX(ETAPP!B$1:B$32,MATCH(COUNTIF(V26:AE26,PVO!A$4),ETAPP!A$1:A$32,0))&amp;INDEX(ETAPP!B$1:B$32,MATCH(COUNTIF(V26:AE26,PVO!A$5),ETAPP!A$1:A$32,0))&amp;INDEX(ETAPP!B$1:B$32,MATCH(COUNTIF(V26:AE26,PVO!A$6),ETAPP!A$1:A$32,0))&amp;INDEX(ETAPP!B$1:B$32,MATCH(COUNTIF(V26:AE26,PVO!A$7),ETAPP!A$1:A$32,0))&amp;INDEX(ETAPP!B$1:B$32,MATCH(COUNTIF(V26:AE26,PVO!A$8),ETAPP!A$1:A$32,0))&amp;INDEX(ETAPP!B$1:B$32,MATCH(COUNTIF(V26:AE26,PVO!A$9),ETAPP!A$1:A$32,0))&amp;INDEX(ETAPP!B$1:B$32,MATCH(COUNTIF(V26:AE26,PVO!A$10),ETAPP!A$1:A$32,0))&amp;INDEX(ETAPP!B$1:B$32,MATCH(COUNTIF(V26:AE26,PVO!A$11),ETAPP!A$1:A$32,0))&amp;INDEX(ETAPP!B$1:B$32,MATCH(COUNTIF(V26:AE26,PVO!A$12),ETAPP!A$1:A$32,0))&amp;INDEX(ETAPP!B$1:B$32,MATCH(COUNTIF(V26:AE26,PVO!A$13),ETAPP!A$1:A$32,0))&amp;INDEX(ETAPP!B$1:B$32,MATCH(COUNTIF(V26:AE26,PVO!A$14),ETAPP!A$1:A$32,0))&amp;INDEX(ETAPP!B$1:B$32,MATCH(COUNTIF(V26:AE26,PVO!A$15),ETAPP!A$1:A$32,0))&amp;INDEX(ETAPP!B$1:B$32,MATCH(COUNTIF(V26:AE26,PVO!A$16),ETAPP!A$1:A$32,0))&amp;INDEX(ETAPP!B$1:B$32,MATCH(COUNTIF(V26:AE26,PVO!A$17),ETAPP!A$1:A$32,0))&amp;INDEX(ETAPP!B$1:B$32,MATCH(COUNTIF(V26:AE26,PVO!A$18),ETAPP!A$1:A$32,0))&amp;INDEX(ETAPP!B$1:B$32,MATCH(COUNTIF(V26:AE26,PVO!A$19),ETAPP!A$1:A$32,0))&amp;INDEX(ETAPP!B$1:B$32,MATCH(COUNTIF(V26:AE26,PVO!A$20),ETAPP!A$1:A$32,0))&amp;INDEX(ETAPP!B$1:B$32,MATCH(COUNTIF(V26:AE26,PVO!A$21),ETAPP!A$1:A$32,0))&amp;INDEX(ETAPP!B$1:B$32,MATCH(COUNTIF(V26:AE26,PVO!A$22),ETAPP!A$1:A$32,0))</f>
        <v>0000000000A00A0A0ABA0B</v>
      </c>
      <c r="P26" s="268" t="str">
        <f t="shared" si="2"/>
        <v>039,5-0000000000A00A0A0ABA0B</v>
      </c>
      <c r="Q26" s="268">
        <f>COUNTIF(P$7:P$66,"&gt;="&amp;P26)</f>
        <v>20</v>
      </c>
      <c r="R26" s="268">
        <f>COUNTIF(I$7:I$66,"&gt;="&amp;I26)</f>
        <v>48</v>
      </c>
      <c r="S26" s="268" t="str">
        <f t="shared" si="3"/>
        <v>039,5-0000000000A00A0A0ABA0B-048</v>
      </c>
      <c r="T26" s="268">
        <f>COUNTIF(S$7:S$66,"&gt;="&amp;S26)</f>
        <v>20</v>
      </c>
      <c r="U26" s="832">
        <f>RANK(T26,T$7:T$66,0)</f>
        <v>41</v>
      </c>
      <c r="V26" s="210">
        <f>IFERROR(INDEX('V1'!C$300:C$400,MATCH("*"&amp;I26&amp;"*",'V1'!B$300:B$400,0)),"  ")</f>
        <v>1</v>
      </c>
      <c r="W26" s="210">
        <f>IFERROR(INDEX('V2'!C$300:C$400,MATCH("*"&amp;I26&amp;"*",'V2'!B$300:B$400,0)),"  ")</f>
        <v>10</v>
      </c>
      <c r="X26" s="210">
        <f>IFERROR(INDEX('V3'!C$300:C$400,MATCH("*"&amp;I26&amp;"*",'V3'!B$300:B$400,0)),"  ")</f>
        <v>5</v>
      </c>
      <c r="Y26" s="210">
        <f>IFERROR(INDEX('V4'!C$300:C$400,MATCH("*"&amp;I26&amp;"*",'V4'!B$300:B$400,0)),"  ")</f>
        <v>2</v>
      </c>
      <c r="Z26" s="210">
        <f>IFERROR(INDEX('V5'!C$300:C$400,MATCH("*"&amp;I26&amp;"*",'V5'!B$300:B$400,0)),"  ")</f>
        <v>3</v>
      </c>
      <c r="AA26" s="210">
        <f>IFERROR(INDEX('V6'!C$300:C$400,MATCH("*"&amp;I26&amp;"*",'V6'!B$300:B$400,0)),"  ")</f>
        <v>7</v>
      </c>
      <c r="AB26" s="210" t="str">
        <f>IFERROR(INDEX('V7'!C$300:C$400,MATCH("*"&amp;I26&amp;"*",'V7'!B$300:B$400,0)),"  ")</f>
        <v xml:space="preserve">  </v>
      </c>
      <c r="AC26" s="210" t="str">
        <f>IFERROR(INDEX('V8'!C$300:C$400,MATCH("*"&amp;I26&amp;"*",'V8'!B$300:B$400,0)),"  ")</f>
        <v xml:space="preserve">  </v>
      </c>
      <c r="AD26" s="210">
        <f>IFERROR(INDEX('V9'!C$300:C$400,MATCH("*"&amp;I26&amp;"*",'V9'!B$300:B$400,0)),"  ")</f>
        <v>9.5</v>
      </c>
      <c r="AE26" s="210">
        <f>IFERROR(INDEX('V10'!C$300:C$400,MATCH("*"&amp;I26&amp;"*",'V10'!B$300:B$400,0)),"  ")</f>
        <v>2</v>
      </c>
      <c r="AF26" s="211">
        <f t="shared" si="4"/>
        <v>1</v>
      </c>
      <c r="AG26" s="211">
        <f t="shared" si="8"/>
        <v>41</v>
      </c>
      <c r="AH26" s="1362" t="str">
        <f>IFERROR(IF(COUNTIF(V26:AE26,"&gt;0")&gt;=3,"edasi ","puudu "&amp;3-COUNT(V26:AE26))&amp;IF(OR(COUNTIF(V26:AE26,"&gt;0")&lt;3,COUNTIF(AE$7:AE$66,"&gt;0")=0),"",RANK(AG26,AG$7:AG$66,0)),"")</f>
        <v>edasi 20</v>
      </c>
      <c r="AI26" s="959">
        <f>IFERROR(INDEX('V-Fin'!A$300:A$325,MATCH(I26,'V-Fin'!B$300:B$325,0)),"")</f>
        <v>20</v>
      </c>
      <c r="AJ26" s="214">
        <f t="shared" si="5"/>
        <v>8</v>
      </c>
      <c r="AK26" s="212">
        <f>IFERROR(IF(V26+1&gt;LARGE(V$7:V$66,1)-2,1),0)+IFERROR(IF(W26+1&gt;LARGE(W$7:W$66,1)-2,1),0)+IFERROR(IF(X26+1&gt;LARGE(X$7:X$66,1)-2,1),0)+IFERROR(IF(Y26+1&gt;LARGE(Y$7:Y$66,1)-2,1),0)+IFERROR(IF(Z26+1&gt;LARGE(Z$7:Z$66,1)-2,1),0)+IFERROR(IF(AA26+1&gt;LARGE(AA$7:AA$66,1)-2,1),0)+IFERROR(IF(AB26+1&gt;LARGE(AB$7:AB$66,1)-2,1),0)+IFERROR(IF(AC26+1&gt;LARGE(AC$7:AC$66,1)-2,1),0)+IFERROR(IF(AD26+1&gt;LARGE(AD$7:AD$66,1)-2,1),0)+IFERROR(IF(AE26+1&gt;LARGE(AE$7:AE$66,1)-2,1),0)</f>
        <v>0</v>
      </c>
      <c r="AL26" s="212">
        <f>IF(V26=0,0,IF(V26=IFERROR(LARGE(V$7:V$66,1),0),1,0))+IF(W26=0,0,IF(W26=IFERROR(LARGE(W$7:W$66,1),0),1,0))+IF(X26=0,0,IF(X26=IFERROR(LARGE(X$7:X$66,1),0),1,0))+IF(Y26=0,0,IF(Y26=IFERROR(LARGE(Y$7:Y$66,1),0),1,0))+IF(Z26=0,0,IF(Z26=IFERROR(LARGE(Z$7:Z$66,1),0),1,0))+IF(AA26=0,0,IF(AA26=IFERROR(LARGE(AA$7:AA$66,1),0),1,0))+IF(AB26=0,0,IF(AB26=IFERROR(LARGE(AB$7:AB$66,1),0),1,0))+IF(AC26=0,0,IF(AC26=IFERROR(LARGE(AC$7:AC$66,1),0),1,0))+IF(AD26=0,0,IF(AD26=IFERROR(LARGE(AD$7:AD$66,1),0),1,0))+IF(AE26=0,0,IF(AE26=IFERROR(LARGE(AE$7:AE$66,1),0),1,0))</f>
        <v>0</v>
      </c>
    </row>
    <row r="27" spans="1:38" x14ac:dyDescent="0.2">
      <c r="A27" s="1026">
        <f>IF(M27="k",RANK(B27,B$7:B$66,0),"")</f>
        <v>9</v>
      </c>
      <c r="B27" s="266">
        <f t="shared" si="0"/>
        <v>10036</v>
      </c>
      <c r="C27" s="944"/>
      <c r="D27" s="1029" t="str">
        <f>IF(J27="n",RANK(E27,E$7:E$66,0),"")</f>
        <v/>
      </c>
      <c r="E27" s="1028">
        <f t="shared" si="6"/>
        <v>0</v>
      </c>
      <c r="F27" s="1025" t="str">
        <f>IF(K27="j",RANK(G27,G$7:G$66,0),"")</f>
        <v/>
      </c>
      <c r="G27" s="266">
        <f t="shared" si="7"/>
        <v>0</v>
      </c>
      <c r="H27" s="209">
        <f>IF(N27&gt;0,RANK(Q27,Q$7:Q$66,1),"")</f>
        <v>21</v>
      </c>
      <c r="I27" s="267" t="s">
        <v>123</v>
      </c>
      <c r="J27" s="269"/>
      <c r="K27" s="270"/>
      <c r="L27" s="1381"/>
      <c r="M27" s="274" t="s">
        <v>187</v>
      </c>
      <c r="N27" s="1019">
        <f t="shared" si="1"/>
        <v>36</v>
      </c>
      <c r="O27" s="268" t="str">
        <f>INDEX(ETAPP!B$1:B$32,MATCH(COUNTIF(V27:AE27,PVO!A$1),ETAPP!A$1:A$32,0))&amp;INDEX(ETAPP!B$1:B$32,MATCH(COUNTIF(V27:AE27,PVO!A$2),ETAPP!A$1:A$32,0))&amp;INDEX(ETAPP!B$1:B$32,MATCH(COUNTIF(V27:AE27,PVO!A$3),ETAPP!A$1:A$32,0))&amp;INDEX(ETAPP!B$1:B$32,MATCH(COUNTIF(V27:AE27,PVO!A$4),ETAPP!A$1:A$32,0))&amp;INDEX(ETAPP!B$1:B$32,MATCH(COUNTIF(V27:AE27,PVO!A$5),ETAPP!A$1:A$32,0))&amp;INDEX(ETAPP!B$1:B$32,MATCH(COUNTIF(V27:AE27,PVO!A$6),ETAPP!A$1:A$32,0))&amp;INDEX(ETAPP!B$1:B$32,MATCH(COUNTIF(V27:AE27,PVO!A$7),ETAPP!A$1:A$32,0))&amp;INDEX(ETAPP!B$1:B$32,MATCH(COUNTIF(V27:AE27,PVO!A$8),ETAPP!A$1:A$32,0))&amp;INDEX(ETAPP!B$1:B$32,MATCH(COUNTIF(V27:AE27,PVO!A$9),ETAPP!A$1:A$32,0))&amp;INDEX(ETAPP!B$1:B$32,MATCH(COUNTIF(V27:AE27,PVO!A$10),ETAPP!A$1:A$32,0))&amp;INDEX(ETAPP!B$1:B$32,MATCH(COUNTIF(V27:AE27,PVO!A$11),ETAPP!A$1:A$32,0))&amp;INDEX(ETAPP!B$1:B$32,MATCH(COUNTIF(V27:AE27,PVO!A$12),ETAPP!A$1:A$32,0))&amp;INDEX(ETAPP!B$1:B$32,MATCH(COUNTIF(V27:AE27,PVO!A$13),ETAPP!A$1:A$32,0))&amp;INDEX(ETAPP!B$1:B$32,MATCH(COUNTIF(V27:AE27,PVO!A$14),ETAPP!A$1:A$32,0))&amp;INDEX(ETAPP!B$1:B$32,MATCH(COUNTIF(V27:AE27,PVO!A$15),ETAPP!A$1:A$32,0))&amp;INDEX(ETAPP!B$1:B$32,MATCH(COUNTIF(V27:AE27,PVO!A$16),ETAPP!A$1:A$32,0))&amp;INDEX(ETAPP!B$1:B$32,MATCH(COUNTIF(V27:AE27,PVO!A$17),ETAPP!A$1:A$32,0))&amp;INDEX(ETAPP!B$1:B$32,MATCH(COUNTIF(V27:AE27,PVO!A$18),ETAPP!A$1:A$32,0))&amp;INDEX(ETAPP!B$1:B$32,MATCH(COUNTIF(V27:AE27,PVO!A$19),ETAPP!A$1:A$32,0))&amp;INDEX(ETAPP!B$1:B$32,MATCH(COUNTIF(V27:AE27,PVO!A$20),ETAPP!A$1:A$32,0))&amp;INDEX(ETAPP!B$1:B$32,MATCH(COUNTIF(V27:AE27,PVO!A$21),ETAPP!A$1:A$32,0))&amp;INDEX(ETAPP!B$1:B$32,MATCH(COUNTIF(V27:AE27,PVO!A$22),ETAPP!A$1:A$32,0))</f>
        <v>00000000AAA000000A000F</v>
      </c>
      <c r="P27" s="268" t="str">
        <f t="shared" si="2"/>
        <v>036,0-00000000AAA000000A000F</v>
      </c>
      <c r="Q27" s="268">
        <f>COUNTIF(P$7:P$66,"&gt;="&amp;P27)</f>
        <v>21</v>
      </c>
      <c r="R27" s="268">
        <f>COUNTIF(I$7:I$66,"&gt;="&amp;I27)</f>
        <v>2</v>
      </c>
      <c r="S27" s="268" t="str">
        <f t="shared" si="3"/>
        <v>036,0-00000000AAA000000A000F-002</v>
      </c>
      <c r="T27" s="268">
        <f>COUNTIF(S$7:S$66,"&gt;="&amp;S27)</f>
        <v>21</v>
      </c>
      <c r="U27" s="832">
        <f>RANK(T27,T$7:T$66,0)</f>
        <v>40</v>
      </c>
      <c r="V27" s="210">
        <f>IFERROR(INDEX('V1'!C$300:C$400,MATCH("*"&amp;I27&amp;"*",'V1'!B$300:B$400,0)),"  ")</f>
        <v>3</v>
      </c>
      <c r="W27" s="210">
        <f>IFERROR(INDEX('V2'!C$300:C$400,MATCH("*"&amp;I27&amp;"*",'V2'!B$300:B$400,0)),"  ")</f>
        <v>11</v>
      </c>
      <c r="X27" s="210">
        <f>IFERROR(INDEX('V3'!C$300:C$400,MATCH("*"&amp;I27&amp;"*",'V3'!B$300:B$400,0)),"  ")</f>
        <v>10</v>
      </c>
      <c r="Y27" s="210">
        <f>IFERROR(INDEX('V4'!C$300:C$400,MATCH("*"&amp;I27&amp;"*",'V4'!B$300:B$400,0)),"  ")</f>
        <v>12</v>
      </c>
      <c r="Z27" s="210" t="str">
        <f>IFERROR(INDEX('V5'!C$300:C$400,MATCH("*"&amp;I27&amp;"*",'V5'!B$300:B$400,0)),"  ")</f>
        <v xml:space="preserve">  </v>
      </c>
      <c r="AA27" s="210" t="str">
        <f>IFERROR(INDEX('V6'!C$300:C$400,MATCH("*"&amp;I27&amp;"*",'V6'!B$300:B$400,0)),"  ")</f>
        <v xml:space="preserve">  </v>
      </c>
      <c r="AB27" s="210" t="str">
        <f>IFERROR(INDEX('V7'!C$300:C$400,MATCH("*"&amp;I27&amp;"*",'V7'!B$300:B$400,0)),"  ")</f>
        <v xml:space="preserve">  </v>
      </c>
      <c r="AC27" s="210" t="str">
        <f>IFERROR(INDEX('V8'!C$300:C$400,MATCH("*"&amp;I27&amp;"*",'V8'!B$300:B$400,0)),"  ")</f>
        <v xml:space="preserve">  </v>
      </c>
      <c r="AD27" s="210" t="str">
        <f>IFERROR(INDEX('V9'!C$300:C$400,MATCH("*"&amp;I27&amp;"*",'V9'!B$300:B$400,0)),"  ")</f>
        <v xml:space="preserve">  </v>
      </c>
      <c r="AE27" s="210" t="str">
        <f>IFERROR(INDEX('V10'!C$300:C$400,MATCH("*"&amp;I27&amp;"*",'V10'!B$300:B$400,0)),"  ")</f>
        <v xml:space="preserve">  </v>
      </c>
      <c r="AF27" s="211">
        <f t="shared" si="4"/>
        <v>1</v>
      </c>
      <c r="AG27" s="211">
        <f t="shared" si="8"/>
        <v>40</v>
      </c>
      <c r="AH27" s="1362" t="str">
        <f>IFERROR(IF(COUNTIF(V27:AE27,"&gt;0")&gt;=3,"edasi ","puudu "&amp;3-COUNT(V27:AE27))&amp;IF(OR(COUNTIF(V27:AE27,"&gt;0")&lt;3,COUNTIF(AE$7:AE$66,"&gt;0")=0),"",RANK(AG27,AG$7:AG$66,0)),"")</f>
        <v>edasi 21</v>
      </c>
      <c r="AI27" s="959" t="str">
        <f>IFERROR(INDEX('V-Fin'!A$300:A$325,MATCH(I27,'V-Fin'!B$300:B$325,0)),"")</f>
        <v/>
      </c>
      <c r="AJ27" s="214">
        <f t="shared" si="5"/>
        <v>4</v>
      </c>
      <c r="AK27" s="212">
        <f>IFERROR(IF(V27+1&gt;LARGE(V$7:V$66,1)-2,1),0)+IFERROR(IF(W27+1&gt;LARGE(W$7:W$66,1)-2,1),0)+IFERROR(IF(X27+1&gt;LARGE(X$7:X$66,1)-2,1),0)+IFERROR(IF(Y27+1&gt;LARGE(Y$7:Y$66,1)-2,1),0)+IFERROR(IF(Z27+1&gt;LARGE(Z$7:Z$66,1)-2,1),0)+IFERROR(IF(AA27+1&gt;LARGE(AA$7:AA$66,1)-2,1),0)+IFERROR(IF(AB27+1&gt;LARGE(AB$7:AB$66,1)-2,1),0)+IFERROR(IF(AC27+1&gt;LARGE(AC$7:AC$66,1)-2,1),0)+IFERROR(IF(AD27+1&gt;LARGE(AD$7:AD$66,1)-2,1),0)+IFERROR(IF(AE27+1&gt;LARGE(AE$7:AE$66,1)-2,1),0)</f>
        <v>1</v>
      </c>
      <c r="AL27" s="212">
        <f>IF(V27=0,0,IF(V27=IFERROR(LARGE(V$7:V$66,1),0),1,0))+IF(W27=0,0,IF(W27=IFERROR(LARGE(W$7:W$66,1),0),1,0))+IF(X27=0,0,IF(X27=IFERROR(LARGE(X$7:X$66,1),0),1,0))+IF(Y27=0,0,IF(Y27=IFERROR(LARGE(Y$7:Y$66,1),0),1,0))+IF(Z27=0,0,IF(Z27=IFERROR(LARGE(Z$7:Z$66,1),0),1,0))+IF(AA27=0,0,IF(AA27=IFERROR(LARGE(AA$7:AA$66,1),0),1,0))+IF(AB27=0,0,IF(AB27=IFERROR(LARGE(AB$7:AB$66,1),0),1,0))+IF(AC27=0,0,IF(AC27=IFERROR(LARGE(AC$7:AC$66,1),0),1,0))+IF(AD27=0,0,IF(AD27=IFERROR(LARGE(AD$7:AD$66,1),0),1,0))+IF(AE27=0,0,IF(AE27=IFERROR(LARGE(AE$7:AE$66,1),0),1,0))</f>
        <v>0</v>
      </c>
    </row>
    <row r="28" spans="1:38" x14ac:dyDescent="0.2">
      <c r="A28" s="1026" t="str">
        <f>IF(M28="k",RANK(B28,B$7:B$66,0),"")</f>
        <v/>
      </c>
      <c r="B28" s="266">
        <f t="shared" si="0"/>
        <v>0</v>
      </c>
      <c r="C28" s="944"/>
      <c r="D28" s="1029" t="str">
        <f>IF(J28="n",RANK(E28,E$7:E$66,0),"")</f>
        <v/>
      </c>
      <c r="E28" s="1028">
        <f t="shared" si="6"/>
        <v>0</v>
      </c>
      <c r="F28" s="1025" t="str">
        <f>IF(K28="j",RANK(G28,G$7:G$66,0),"")</f>
        <v/>
      </c>
      <c r="G28" s="266">
        <f t="shared" si="7"/>
        <v>0</v>
      </c>
      <c r="H28" s="209">
        <f>IF(N28&gt;0,RANK(Q28,Q$7:Q$66,1),"")</f>
        <v>22</v>
      </c>
      <c r="I28" s="213" t="s">
        <v>90</v>
      </c>
      <c r="J28" s="269"/>
      <c r="K28" s="270"/>
      <c r="L28" s="1381"/>
      <c r="M28" s="274"/>
      <c r="N28" s="1019">
        <f t="shared" si="1"/>
        <v>34.5</v>
      </c>
      <c r="O28" s="268" t="str">
        <f>INDEX(ETAPP!B$1:B$32,MATCH(COUNTIF(V28:AE28,PVO!A$1),ETAPP!A$1:A$32,0))&amp;INDEX(ETAPP!B$1:B$32,MATCH(COUNTIF(V28:AE28,PVO!A$2),ETAPP!A$1:A$32,0))&amp;INDEX(ETAPP!B$1:B$32,MATCH(COUNTIF(V28:AE28,PVO!A$3),ETAPP!A$1:A$32,0))&amp;INDEX(ETAPP!B$1:B$32,MATCH(COUNTIF(V28:AE28,PVO!A$4),ETAPP!A$1:A$32,0))&amp;INDEX(ETAPP!B$1:B$32,MATCH(COUNTIF(V28:AE28,PVO!A$5),ETAPP!A$1:A$32,0))&amp;INDEX(ETAPP!B$1:B$32,MATCH(COUNTIF(V28:AE28,PVO!A$6),ETAPP!A$1:A$32,0))&amp;INDEX(ETAPP!B$1:B$32,MATCH(COUNTIF(V28:AE28,PVO!A$7),ETAPP!A$1:A$32,0))&amp;INDEX(ETAPP!B$1:B$32,MATCH(COUNTIF(V28:AE28,PVO!A$8),ETAPP!A$1:A$32,0))&amp;INDEX(ETAPP!B$1:B$32,MATCH(COUNTIF(V28:AE28,PVO!A$9),ETAPP!A$1:A$32,0))&amp;INDEX(ETAPP!B$1:B$32,MATCH(COUNTIF(V28:AE28,PVO!A$10),ETAPP!A$1:A$32,0))&amp;INDEX(ETAPP!B$1:B$32,MATCH(COUNTIF(V28:AE28,PVO!A$11),ETAPP!A$1:A$32,0))&amp;INDEX(ETAPP!B$1:B$32,MATCH(COUNTIF(V28:AE28,PVO!A$12),ETAPP!A$1:A$32,0))&amp;INDEX(ETAPP!B$1:B$32,MATCH(COUNTIF(V28:AE28,PVO!A$13),ETAPP!A$1:A$32,0))&amp;INDEX(ETAPP!B$1:B$32,MATCH(COUNTIF(V28:AE28,PVO!A$14),ETAPP!A$1:A$32,0))&amp;INDEX(ETAPP!B$1:B$32,MATCH(COUNTIF(V28:AE28,PVO!A$15),ETAPP!A$1:A$32,0))&amp;INDEX(ETAPP!B$1:B$32,MATCH(COUNTIF(V28:AE28,PVO!A$16),ETAPP!A$1:A$32,0))&amp;INDEX(ETAPP!B$1:B$32,MATCH(COUNTIF(V28:AE28,PVO!A$17),ETAPP!A$1:A$32,0))&amp;INDEX(ETAPP!B$1:B$32,MATCH(COUNTIF(V28:AE28,PVO!A$18),ETAPP!A$1:A$32,0))&amp;INDEX(ETAPP!B$1:B$32,MATCH(COUNTIF(V28:AE28,PVO!A$19),ETAPP!A$1:A$32,0))&amp;INDEX(ETAPP!B$1:B$32,MATCH(COUNTIF(V28:AE28,PVO!A$20),ETAPP!A$1:A$32,0))&amp;INDEX(ETAPP!B$1:B$32,MATCH(COUNTIF(V28:AE28,PVO!A$21),ETAPP!A$1:A$32,0))&amp;INDEX(ETAPP!B$1:B$32,MATCH(COUNTIF(V28:AE28,PVO!A$22),ETAPP!A$1:A$32,0))</f>
        <v>00000000A00A000A0A000E</v>
      </c>
      <c r="P28" s="268" t="str">
        <f t="shared" si="2"/>
        <v>034,5-00000000A00A000A0A000E</v>
      </c>
      <c r="Q28" s="268">
        <f>COUNTIF(P$7:P$66,"&gt;="&amp;P28)</f>
        <v>22</v>
      </c>
      <c r="R28" s="268">
        <f>COUNTIF(I$7:I$66,"&gt;="&amp;I28)</f>
        <v>39</v>
      </c>
      <c r="S28" s="268" t="str">
        <f t="shared" si="3"/>
        <v>034,5-00000000A00A000A0A000E-039</v>
      </c>
      <c r="T28" s="268">
        <f>COUNTIF(S$7:S$66,"&gt;="&amp;S28)</f>
        <v>22</v>
      </c>
      <c r="U28" s="832">
        <f>RANK(T28,T$7:T$66,0)</f>
        <v>39</v>
      </c>
      <c r="V28" s="210">
        <f>IFERROR(INDEX('V1'!C$300:C$400,MATCH("*"&amp;I28&amp;"*",'V1'!B$300:B$400,0)),"  ")</f>
        <v>5</v>
      </c>
      <c r="W28" s="210" t="str">
        <f>IFERROR(INDEX('V2'!C$300:C$400,MATCH("*"&amp;I28&amp;"*",'V2'!B$300:B$400,0)),"  ")</f>
        <v xml:space="preserve">  </v>
      </c>
      <c r="X28" s="210">
        <f>IFERROR(INDEX('V3'!C$300:C$400,MATCH("*"&amp;I28&amp;"*",'V3'!B$300:B$400,0)),"  ")</f>
        <v>3</v>
      </c>
      <c r="Y28" s="210" t="str">
        <f>IFERROR(INDEX('V4'!C$300:C$400,MATCH("*"&amp;I28&amp;"*",'V4'!B$300:B$400,0)),"  ")</f>
        <v xml:space="preserve">  </v>
      </c>
      <c r="Z28" s="210">
        <f>IFERROR(INDEX('V5'!C$300:C$400,MATCH("*"&amp;I28&amp;"*",'V5'!B$300:B$400,0)),"  ")</f>
        <v>5.5</v>
      </c>
      <c r="AA28" s="210" t="str">
        <f>IFERROR(INDEX('V6'!C$300:C$400,MATCH("*"&amp;I28&amp;"*",'V6'!B$300:B$400,0)),"  ")</f>
        <v xml:space="preserve">  </v>
      </c>
      <c r="AB28" s="210" t="str">
        <f>IFERROR(INDEX('V7'!C$300:C$400,MATCH("*"&amp;I28&amp;"*",'V7'!B$300:B$400,0)),"  ")</f>
        <v xml:space="preserve">  </v>
      </c>
      <c r="AC28" s="210">
        <f>IFERROR(INDEX('V8'!C$300:C$400,MATCH("*"&amp;I28&amp;"*",'V8'!B$300:B$400,0)),"  ")</f>
        <v>9</v>
      </c>
      <c r="AD28" s="210">
        <f>IFERROR(INDEX('V9'!C$300:C$400,MATCH("*"&amp;I28&amp;"*",'V9'!B$300:B$400,0)),"  ")</f>
        <v>12</v>
      </c>
      <c r="AE28" s="210" t="str">
        <f>IFERROR(INDEX('V10'!C$300:C$400,MATCH("*"&amp;I28&amp;"*",'V10'!B$300:B$400,0)),"  ")</f>
        <v xml:space="preserve">  </v>
      </c>
      <c r="AF28" s="211">
        <f t="shared" si="4"/>
        <v>1</v>
      </c>
      <c r="AG28" s="211">
        <f t="shared" si="8"/>
        <v>39</v>
      </c>
      <c r="AH28" s="1362" t="str">
        <f>IFERROR(IF(COUNTIF(V28:AE28,"&gt;0")&gt;=3,"edasi ","puudu "&amp;3-COUNT(V28:AE28))&amp;IF(OR(COUNTIF(V28:AE28,"&gt;0")&lt;3,COUNTIF(AE$7:AE$66,"&gt;0")=0),"",RANK(AG28,AG$7:AG$66,0)),"")</f>
        <v>edasi 22</v>
      </c>
      <c r="AI28" s="959">
        <f>IFERROR(INDEX('V-Fin'!A$300:A$325,MATCH(I28,'V-Fin'!B$300:B$325,0)),"")</f>
        <v>12</v>
      </c>
      <c r="AJ28" s="214">
        <f t="shared" si="5"/>
        <v>5</v>
      </c>
      <c r="AK28" s="212">
        <f>IFERROR(IF(V28+1&gt;LARGE(V$7:V$66,1)-2,1),0)+IFERROR(IF(W28+1&gt;LARGE(W$7:W$66,1)-2,1),0)+IFERROR(IF(X28+1&gt;LARGE(X$7:X$66,1)-2,1),0)+IFERROR(IF(Y28+1&gt;LARGE(Y$7:Y$66,1)-2,1),0)+IFERROR(IF(Z28+1&gt;LARGE(Z$7:Z$66,1)-2,1),0)+IFERROR(IF(AA28+1&gt;LARGE(AA$7:AA$66,1)-2,1),0)+IFERROR(IF(AB28+1&gt;LARGE(AB$7:AB$66,1)-2,1),0)+IFERROR(IF(AC28+1&gt;LARGE(AC$7:AC$66,1)-2,1),0)+IFERROR(IF(AD28+1&gt;LARGE(AD$7:AD$66,1)-2,1),0)+IFERROR(IF(AE28+1&gt;LARGE(AE$7:AE$66,1)-2,1),0)</f>
        <v>1</v>
      </c>
      <c r="AL28" s="212">
        <f>IF(V28=0,0,IF(V28=IFERROR(LARGE(V$7:V$66,1),0),1,0))+IF(W28=0,0,IF(W28=IFERROR(LARGE(W$7:W$66,1),0),1,0))+IF(X28=0,0,IF(X28=IFERROR(LARGE(X$7:X$66,1),0),1,0))+IF(Y28=0,0,IF(Y28=IFERROR(LARGE(Y$7:Y$66,1),0),1,0))+IF(Z28=0,0,IF(Z28=IFERROR(LARGE(Z$7:Z$66,1),0),1,0))+IF(AA28=0,0,IF(AA28=IFERROR(LARGE(AA$7:AA$66,1),0),1,0))+IF(AB28=0,0,IF(AB28=IFERROR(LARGE(AB$7:AB$66,1),0),1,0))+IF(AC28=0,0,IF(AC28=IFERROR(LARGE(AC$7:AC$66,1),0),1,0))+IF(AD28=0,0,IF(AD28=IFERROR(LARGE(AD$7:AD$66,1),0),1,0))+IF(AE28=0,0,IF(AE28=IFERROR(LARGE(AE$7:AE$66,1),0),1,0))</f>
        <v>0</v>
      </c>
    </row>
    <row r="29" spans="1:38" x14ac:dyDescent="0.2">
      <c r="A29" s="1026">
        <f>IF(M29="k",RANK(B29,B$7:B$66,0),"")</f>
        <v>10</v>
      </c>
      <c r="B29" s="266">
        <f t="shared" si="0"/>
        <v>10034</v>
      </c>
      <c r="C29" s="944"/>
      <c r="D29" s="1029" t="str">
        <f>IF(J29="n",RANK(E29,E$7:E$66,0),"")</f>
        <v/>
      </c>
      <c r="E29" s="1028">
        <f t="shared" si="6"/>
        <v>0</v>
      </c>
      <c r="F29" s="1025" t="str">
        <f>IF(K29="j",RANK(G29,G$7:G$66,0),"")</f>
        <v/>
      </c>
      <c r="G29" s="266">
        <f t="shared" si="7"/>
        <v>0</v>
      </c>
      <c r="H29" s="209">
        <f>IF(N29&gt;0,RANK(Q29,Q$7:Q$66,1),"")</f>
        <v>23</v>
      </c>
      <c r="I29" s="267" t="s">
        <v>128</v>
      </c>
      <c r="J29" s="269"/>
      <c r="K29" s="270"/>
      <c r="L29" s="1381"/>
      <c r="M29" s="274" t="s">
        <v>187</v>
      </c>
      <c r="N29" s="1019">
        <f t="shared" si="1"/>
        <v>34</v>
      </c>
      <c r="O29" s="268" t="str">
        <f>INDEX(ETAPP!B$1:B$32,MATCH(COUNTIF(V29:AE29,PVO!A$1),ETAPP!A$1:A$32,0))&amp;INDEX(ETAPP!B$1:B$32,MATCH(COUNTIF(V29:AE29,PVO!A$2),ETAPP!A$1:A$32,0))&amp;INDEX(ETAPP!B$1:B$32,MATCH(COUNTIF(V29:AE29,PVO!A$3),ETAPP!A$1:A$32,0))&amp;INDEX(ETAPP!B$1:B$32,MATCH(COUNTIF(V29:AE29,PVO!A$4),ETAPP!A$1:A$32,0))&amp;INDEX(ETAPP!B$1:B$32,MATCH(COUNTIF(V29:AE29,PVO!A$5),ETAPP!A$1:A$32,0))&amp;INDEX(ETAPP!B$1:B$32,MATCH(COUNTIF(V29:AE29,PVO!A$6),ETAPP!A$1:A$32,0))&amp;INDEX(ETAPP!B$1:B$32,MATCH(COUNTIF(V29:AE29,PVO!A$7),ETAPP!A$1:A$32,0))&amp;INDEX(ETAPP!B$1:B$32,MATCH(COUNTIF(V29:AE29,PVO!A$8),ETAPP!A$1:A$32,0))&amp;INDEX(ETAPP!B$1:B$32,MATCH(COUNTIF(V29:AE29,PVO!A$9),ETAPP!A$1:A$32,0))&amp;INDEX(ETAPP!B$1:B$32,MATCH(COUNTIF(V29:AE29,PVO!A$10),ETAPP!A$1:A$32,0))&amp;INDEX(ETAPP!B$1:B$32,MATCH(COUNTIF(V29:AE29,PVO!A$11),ETAPP!A$1:A$32,0))&amp;INDEX(ETAPP!B$1:B$32,MATCH(COUNTIF(V29:AE29,PVO!A$12),ETAPP!A$1:A$32,0))&amp;INDEX(ETAPP!B$1:B$32,MATCH(COUNTIF(V29:AE29,PVO!A$13),ETAPP!A$1:A$32,0))&amp;INDEX(ETAPP!B$1:B$32,MATCH(COUNTIF(V29:AE29,PVO!A$14),ETAPP!A$1:A$32,0))&amp;INDEX(ETAPP!B$1:B$32,MATCH(COUNTIF(V29:AE29,PVO!A$15),ETAPP!A$1:A$32,0))&amp;INDEX(ETAPP!B$1:B$32,MATCH(COUNTIF(V29:AE29,PVO!A$16),ETAPP!A$1:A$32,0))&amp;INDEX(ETAPP!B$1:B$32,MATCH(COUNTIF(V29:AE29,PVO!A$17),ETAPP!A$1:A$32,0))&amp;INDEX(ETAPP!B$1:B$32,MATCH(COUNTIF(V29:AE29,PVO!A$18),ETAPP!A$1:A$32,0))&amp;INDEX(ETAPP!B$1:B$32,MATCH(COUNTIF(V29:AE29,PVO!A$19),ETAPP!A$1:A$32,0))&amp;INDEX(ETAPP!B$1:B$32,MATCH(COUNTIF(V29:AE29,PVO!A$20),ETAPP!A$1:A$32,0))&amp;INDEX(ETAPP!B$1:B$32,MATCH(COUNTIF(V29:AE29,PVO!A$21),ETAPP!A$1:A$32,0))&amp;INDEX(ETAPP!B$1:B$32,MATCH(COUNTIF(V29:AE29,PVO!A$22),ETAPP!A$1:A$32,0))</f>
        <v>00000000A0000A00AA000D</v>
      </c>
      <c r="P29" s="268" t="str">
        <f t="shared" si="2"/>
        <v>034,0-00000000A0000A00AA000D</v>
      </c>
      <c r="Q29" s="268">
        <f>COUNTIF(P$7:P$66,"&gt;="&amp;P29)</f>
        <v>23</v>
      </c>
      <c r="R29" s="268">
        <f>COUNTIF(I$7:I$66,"&gt;="&amp;I29)</f>
        <v>50</v>
      </c>
      <c r="S29" s="268" t="str">
        <f t="shared" si="3"/>
        <v>034,0-00000000A0000A00AA000D-050</v>
      </c>
      <c r="T29" s="268">
        <f>COUNTIF(S$7:S$66,"&gt;="&amp;S29)</f>
        <v>23</v>
      </c>
      <c r="U29" s="832">
        <f>RANK(T29,T$7:T$66,0)</f>
        <v>38</v>
      </c>
      <c r="V29" s="210" t="str">
        <f>IFERROR(INDEX('V1'!C$300:C$400,MATCH("*"&amp;I29&amp;"*",'V1'!B$300:B$400,0)),"  ")</f>
        <v xml:space="preserve">  </v>
      </c>
      <c r="W29" s="210">
        <f>IFERROR(INDEX('V2'!C$300:C$400,MATCH("*"&amp;I29&amp;"*",'V2'!B$300:B$400,0)),"  ")</f>
        <v>5.5</v>
      </c>
      <c r="X29" s="210">
        <f>IFERROR(INDEX('V3'!C$300:C$400,MATCH("*"&amp;I29&amp;"*",'V3'!B$300:B$400,0)),"  ")</f>
        <v>7</v>
      </c>
      <c r="Y29" s="210" t="str">
        <f>IFERROR(INDEX('V4'!C$300:C$400,MATCH("*"&amp;I29&amp;"*",'V4'!B$300:B$400,0)),"  ")</f>
        <v xml:space="preserve">  </v>
      </c>
      <c r="Z29" s="210">
        <f>IFERROR(INDEX('V5'!C$300:C$400,MATCH("*"&amp;I29&amp;"*",'V5'!B$300:B$400,0)),"  ")</f>
        <v>4</v>
      </c>
      <c r="AA29" s="210">
        <f>IFERROR(INDEX('V6'!C$300:C$400,MATCH("*"&amp;I29&amp;"*",'V6'!B$300:B$400,0)),"  ")</f>
        <v>2.5</v>
      </c>
      <c r="AB29" s="210" t="str">
        <f>IFERROR(INDEX('V7'!C$300:C$400,MATCH("*"&amp;I29&amp;"*",'V7'!B$300:B$400,0)),"  ")</f>
        <v xml:space="preserve">  </v>
      </c>
      <c r="AC29" s="210">
        <f>IFERROR(INDEX('V8'!C$300:C$400,MATCH("*"&amp;I29&amp;"*",'V8'!B$300:B$400,0)),"  ")</f>
        <v>12</v>
      </c>
      <c r="AD29" s="210" t="str">
        <f>IFERROR(INDEX('V9'!C$300:C$400,MATCH("*"&amp;I29&amp;"*",'V9'!B$300:B$400,0)),"  ")</f>
        <v xml:space="preserve">  </v>
      </c>
      <c r="AE29" s="210">
        <f>IFERROR(INDEX('V10'!C$300:C$400,MATCH("*"&amp;I29&amp;"*",'V10'!B$300:B$400,0)),"  ")</f>
        <v>3</v>
      </c>
      <c r="AF29" s="211">
        <f t="shared" si="4"/>
        <v>1</v>
      </c>
      <c r="AG29" s="211">
        <f t="shared" si="8"/>
        <v>38</v>
      </c>
      <c r="AH29" s="1362" t="str">
        <f>IFERROR(IF(COUNTIF(V29:AE29,"&gt;0")&gt;=3,"edasi ","puudu "&amp;3-COUNT(V29:AE29))&amp;IF(OR(COUNTIF(V29:AE29,"&gt;0")&lt;3,COUNTIF(AE$7:AE$66,"&gt;0")=0),"",RANK(AG29,AG$7:AG$66,0)),"")</f>
        <v>edasi 23</v>
      </c>
      <c r="AI29" s="959">
        <f>IFERROR(INDEX('V-Fin'!A$300:A$325,MATCH(I29,'V-Fin'!B$300:B$325,0)),"")</f>
        <v>24</v>
      </c>
      <c r="AJ29" s="214">
        <f t="shared" si="5"/>
        <v>6</v>
      </c>
      <c r="AK29" s="212">
        <f>IFERROR(IF(V29+1&gt;LARGE(V$7:V$66,1)-2,1),0)+IFERROR(IF(W29+1&gt;LARGE(W$7:W$66,1)-2,1),0)+IFERROR(IF(X29+1&gt;LARGE(X$7:X$66,1)-2,1),0)+IFERROR(IF(Y29+1&gt;LARGE(Y$7:Y$66,1)-2,1),0)+IFERROR(IF(Z29+1&gt;LARGE(Z$7:Z$66,1)-2,1),0)+IFERROR(IF(AA29+1&gt;LARGE(AA$7:AA$66,1)-2,1),0)+IFERROR(IF(AB29+1&gt;LARGE(AB$7:AB$66,1)-2,1),0)+IFERROR(IF(AC29+1&gt;LARGE(AC$7:AC$66,1)-2,1),0)+IFERROR(IF(AD29+1&gt;LARGE(AD$7:AD$66,1)-2,1),0)+IFERROR(IF(AE29+1&gt;LARGE(AE$7:AE$66,1)-2,1),0)</f>
        <v>1</v>
      </c>
      <c r="AL29" s="212">
        <f>IF(V29=0,0,IF(V29=IFERROR(LARGE(V$7:V$66,1),0),1,0))+IF(W29=0,0,IF(W29=IFERROR(LARGE(W$7:W$66,1),0),1,0))+IF(X29=0,0,IF(X29=IFERROR(LARGE(X$7:X$66,1),0),1,0))+IF(Y29=0,0,IF(Y29=IFERROR(LARGE(Y$7:Y$66,1),0),1,0))+IF(Z29=0,0,IF(Z29=IFERROR(LARGE(Z$7:Z$66,1),0),1,0))+IF(AA29=0,0,IF(AA29=IFERROR(LARGE(AA$7:AA$66,1),0),1,0))+IF(AB29=0,0,IF(AB29=IFERROR(LARGE(AB$7:AB$66,1),0),1,0))+IF(AC29=0,0,IF(AC29=IFERROR(LARGE(AC$7:AC$66,1),0),1,0))+IF(AD29=0,0,IF(AD29=IFERROR(LARGE(AD$7:AD$66,1),0),1,0))+IF(AE29=0,0,IF(AE29=IFERROR(LARGE(AE$7:AE$66,1),0),1,0))</f>
        <v>1</v>
      </c>
    </row>
    <row r="30" spans="1:38" x14ac:dyDescent="0.2">
      <c r="A30" s="1026" t="str">
        <f>IF(M30="k",RANK(B30,B$7:B$66,0),"")</f>
        <v/>
      </c>
      <c r="B30" s="266">
        <f t="shared" si="0"/>
        <v>0</v>
      </c>
      <c r="C30" s="944"/>
      <c r="D30" s="1029" t="str">
        <f>IF(J30="n",RANK(E30,E$7:E$66,0),"")</f>
        <v/>
      </c>
      <c r="E30" s="1028">
        <f t="shared" si="6"/>
        <v>0</v>
      </c>
      <c r="F30" s="1025" t="str">
        <f>IF(K30="j",RANK(G30,G$7:G$66,0),"")</f>
        <v/>
      </c>
      <c r="G30" s="266">
        <f t="shared" si="7"/>
        <v>0</v>
      </c>
      <c r="H30" s="209">
        <f>IF(N30&gt;0,RANK(Q30,Q$7:Q$66,1),"")</f>
        <v>24</v>
      </c>
      <c r="I30" s="213" t="s">
        <v>91</v>
      </c>
      <c r="J30" s="269"/>
      <c r="K30" s="270"/>
      <c r="L30" s="1381"/>
      <c r="M30" s="274"/>
      <c r="N30" s="1019">
        <f t="shared" si="1"/>
        <v>34</v>
      </c>
      <c r="O30" s="268" t="str">
        <f>INDEX(ETAPP!B$1:B$32,MATCH(COUNTIF(V30:AE30,PVO!A$1),ETAPP!A$1:A$32,0))&amp;INDEX(ETAPP!B$1:B$32,MATCH(COUNTIF(V30:AE30,PVO!A$2),ETAPP!A$1:A$32,0))&amp;INDEX(ETAPP!B$1:B$32,MATCH(COUNTIF(V30:AE30,PVO!A$3),ETAPP!A$1:A$32,0))&amp;INDEX(ETAPP!B$1:B$32,MATCH(COUNTIF(V30:AE30,PVO!A$4),ETAPP!A$1:A$32,0))&amp;INDEX(ETAPP!B$1:B$32,MATCH(COUNTIF(V30:AE30,PVO!A$5),ETAPP!A$1:A$32,0))&amp;INDEX(ETAPP!B$1:B$32,MATCH(COUNTIF(V30:AE30,PVO!A$6),ETAPP!A$1:A$32,0))&amp;INDEX(ETAPP!B$1:B$32,MATCH(COUNTIF(V30:AE30,PVO!A$7),ETAPP!A$1:A$32,0))&amp;INDEX(ETAPP!B$1:B$32,MATCH(COUNTIF(V30:AE30,PVO!A$8),ETAPP!A$1:A$32,0))&amp;INDEX(ETAPP!B$1:B$32,MATCH(COUNTIF(V30:AE30,PVO!A$9),ETAPP!A$1:A$32,0))&amp;INDEX(ETAPP!B$1:B$32,MATCH(COUNTIF(V30:AE30,PVO!A$10),ETAPP!A$1:A$32,0))&amp;INDEX(ETAPP!B$1:B$32,MATCH(COUNTIF(V30:AE30,PVO!A$11),ETAPP!A$1:A$32,0))&amp;INDEX(ETAPP!B$1:B$32,MATCH(COUNTIF(V30:AE30,PVO!A$12),ETAPP!A$1:A$32,0))&amp;INDEX(ETAPP!B$1:B$32,MATCH(COUNTIF(V30:AE30,PVO!A$13),ETAPP!A$1:A$32,0))&amp;INDEX(ETAPP!B$1:B$32,MATCH(COUNTIF(V30:AE30,PVO!A$14),ETAPP!A$1:A$32,0))&amp;INDEX(ETAPP!B$1:B$32,MATCH(COUNTIF(V30:AE30,PVO!A$15),ETAPP!A$1:A$32,0))&amp;INDEX(ETAPP!B$1:B$32,MATCH(COUNTIF(V30:AE30,PVO!A$16),ETAPP!A$1:A$32,0))&amp;INDEX(ETAPP!B$1:B$32,MATCH(COUNTIF(V30:AE30,PVO!A$17),ETAPP!A$1:A$32,0))&amp;INDEX(ETAPP!B$1:B$32,MATCH(COUNTIF(V30:AE30,PVO!A$18),ETAPP!A$1:A$32,0))&amp;INDEX(ETAPP!B$1:B$32,MATCH(COUNTIF(V30:AE30,PVO!A$19),ETAPP!A$1:A$32,0))&amp;INDEX(ETAPP!B$1:B$32,MATCH(COUNTIF(V30:AE30,PVO!A$20),ETAPP!A$1:A$32,0))&amp;INDEX(ETAPP!B$1:B$32,MATCH(COUNTIF(V30:AE30,PVO!A$21),ETAPP!A$1:A$32,0))&amp;INDEX(ETAPP!B$1:B$32,MATCH(COUNTIF(V30:AE30,PVO!A$22),ETAPP!A$1:A$32,0))</f>
        <v>00000000000A000000000G</v>
      </c>
      <c r="P30" s="268" t="str">
        <f t="shared" si="2"/>
        <v>034,0-00000000000A000000000G</v>
      </c>
      <c r="Q30" s="268">
        <f>COUNTIF(P$7:P$66,"&gt;="&amp;P30)</f>
        <v>24</v>
      </c>
      <c r="R30" s="268">
        <f>COUNTIF(I$7:I$66,"&gt;="&amp;I30)</f>
        <v>26</v>
      </c>
      <c r="S30" s="268" t="str">
        <f t="shared" si="3"/>
        <v>034,0-00000000000A000000000G-026</v>
      </c>
      <c r="T30" s="268">
        <f>COUNTIF(S$7:S$66,"&gt;="&amp;S30)</f>
        <v>24</v>
      </c>
      <c r="U30" s="832">
        <f>RANK(T30,T$7:T$66,0)</f>
        <v>37</v>
      </c>
      <c r="V30" s="210" t="str">
        <f>IFERROR(INDEX('V1'!C$300:C$400,MATCH("*"&amp;I30&amp;"*",'V1'!B$300:B$400,0)),"  ")</f>
        <v xml:space="preserve">  </v>
      </c>
      <c r="W30" s="210">
        <f>IFERROR(INDEX('V2'!C$300:C$400,MATCH("*"&amp;I30&amp;"*",'V2'!B$300:B$400,0)),"  ")</f>
        <v>12.5</v>
      </c>
      <c r="X30" s="210">
        <f>IFERROR(INDEX('V3'!C$300:C$400,MATCH("*"&amp;I30&amp;"*",'V3'!B$300:B$400,0)),"  ")</f>
        <v>12.5</v>
      </c>
      <c r="Y30" s="210" t="str">
        <f>IFERROR(INDEX('V4'!C$300:C$400,MATCH("*"&amp;I30&amp;"*",'V4'!B$300:B$400,0)),"  ")</f>
        <v xml:space="preserve">  </v>
      </c>
      <c r="Z30" s="210" t="str">
        <f>IFERROR(INDEX('V5'!C$300:C$400,MATCH("*"&amp;I30&amp;"*",'V5'!B$300:B$400,0)),"  ")</f>
        <v xml:space="preserve">  </v>
      </c>
      <c r="AA30" s="210" t="str">
        <f>IFERROR(INDEX('V6'!C$300:C$400,MATCH("*"&amp;I30&amp;"*",'V6'!B$300:B$400,0)),"  ")</f>
        <v xml:space="preserve">  </v>
      </c>
      <c r="AB30" s="210" t="str">
        <f>IFERROR(INDEX('V7'!C$300:C$400,MATCH("*"&amp;I30&amp;"*",'V7'!B$300:B$400,0)),"  ")</f>
        <v xml:space="preserve">  </v>
      </c>
      <c r="AC30" s="210" t="str">
        <f>IFERROR(INDEX('V8'!C$300:C$400,MATCH("*"&amp;I30&amp;"*",'V8'!B$300:B$400,0)),"  ")</f>
        <v xml:space="preserve">  </v>
      </c>
      <c r="AD30" s="210" t="str">
        <f>IFERROR(INDEX('V9'!C$300:C$400,MATCH("*"&amp;I30&amp;"*",'V9'!B$300:B$400,0)),"  ")</f>
        <v xml:space="preserve">  </v>
      </c>
      <c r="AE30" s="210">
        <f>IFERROR(INDEX('V10'!C$300:C$400,MATCH("*"&amp;I30&amp;"*",'V10'!B$300:B$400,0)),"  ")</f>
        <v>9</v>
      </c>
      <c r="AF30" s="211">
        <f t="shared" si="4"/>
        <v>1</v>
      </c>
      <c r="AG30" s="211">
        <f t="shared" si="8"/>
        <v>37</v>
      </c>
      <c r="AH30" s="1362" t="str">
        <f>IFERROR(IF(COUNTIF(V30:AE30,"&gt;0")&gt;=3,"edasi ","puudu "&amp;3-COUNT(V30:AE30))&amp;IF(OR(COUNTIF(V30:AE30,"&gt;0")&lt;3,COUNTIF(AE$7:AE$66,"&gt;0")=0),"",RANK(AG30,AG$7:AG$66,0)),"")</f>
        <v>edasi 24</v>
      </c>
      <c r="AI30" s="959" t="str">
        <f>IFERROR(INDEX('V-Fin'!A$300:A$325,MATCH(I30,'V-Fin'!B$300:B$325,0)),"")</f>
        <v/>
      </c>
      <c r="AJ30" s="214">
        <f t="shared" si="5"/>
        <v>3</v>
      </c>
      <c r="AK30" s="212">
        <f>IFERROR(IF(V30+1&gt;LARGE(V$7:V$66,1)-2,1),0)+IFERROR(IF(W30+1&gt;LARGE(W$7:W$66,1)-2,1),0)+IFERROR(IF(X30+1&gt;LARGE(X$7:X$66,1)-2,1),0)+IFERROR(IF(Y30+1&gt;LARGE(Y$7:Y$66,1)-2,1),0)+IFERROR(IF(Z30+1&gt;LARGE(Z$7:Z$66,1)-2,1),0)+IFERROR(IF(AA30+1&gt;LARGE(AA$7:AA$66,1)-2,1),0)+IFERROR(IF(AB30+1&gt;LARGE(AB$7:AB$66,1)-2,1),0)+IFERROR(IF(AC30+1&gt;LARGE(AC$7:AC$66,1)-2,1),0)+IFERROR(IF(AD30+1&gt;LARGE(AD$7:AD$66,1)-2,1),0)+IFERROR(IF(AE30+1&gt;LARGE(AE$7:AE$66,1)-2,1),0)</f>
        <v>2</v>
      </c>
      <c r="AL30" s="212">
        <f>IF(V30=0,0,IF(V30=IFERROR(LARGE(V$7:V$66,1),0),1,0))+IF(W30=0,0,IF(W30=IFERROR(LARGE(W$7:W$66,1),0),1,0))+IF(X30=0,0,IF(X30=IFERROR(LARGE(X$7:X$66,1),0),1,0))+IF(Y30=0,0,IF(Y30=IFERROR(LARGE(Y$7:Y$66,1),0),1,0))+IF(Z30=0,0,IF(Z30=IFERROR(LARGE(Z$7:Z$66,1),0),1,0))+IF(AA30=0,0,IF(AA30=IFERROR(LARGE(AA$7:AA$66,1),0),1,0))+IF(AB30=0,0,IF(AB30=IFERROR(LARGE(AB$7:AB$66,1),0),1,0))+IF(AC30=0,0,IF(AC30=IFERROR(LARGE(AC$7:AC$66,1),0),1,0))+IF(AD30=0,0,IF(AD30=IFERROR(LARGE(AD$7:AD$66,1),0),1,0))+IF(AE30=0,0,IF(AE30=IFERROR(LARGE(AE$7:AE$66,1),0),1,0))</f>
        <v>0</v>
      </c>
    </row>
    <row r="31" spans="1:38" x14ac:dyDescent="0.2">
      <c r="A31" s="1026" t="str">
        <f>IF(M31="k",RANK(B31,B$7:B$66,0),"")</f>
        <v/>
      </c>
      <c r="B31" s="266">
        <f t="shared" si="0"/>
        <v>0</v>
      </c>
      <c r="C31" s="944"/>
      <c r="D31" s="1029" t="str">
        <f>IF(J31="n",RANK(E31,E$7:E$66,0),"")</f>
        <v/>
      </c>
      <c r="E31" s="1028">
        <f t="shared" si="6"/>
        <v>0</v>
      </c>
      <c r="F31" s="1025" t="str">
        <f>IF(K31="j",RANK(G31,G$7:G$66,0),"")</f>
        <v/>
      </c>
      <c r="G31" s="266">
        <f t="shared" si="7"/>
        <v>0</v>
      </c>
      <c r="H31" s="209">
        <f>IF(N31&gt;0,RANK(Q31,Q$7:Q$66,1),"")</f>
        <v>25</v>
      </c>
      <c r="I31" s="213" t="s">
        <v>107</v>
      </c>
      <c r="J31" s="269"/>
      <c r="K31" s="270"/>
      <c r="L31" s="1381"/>
      <c r="M31" s="274"/>
      <c r="N31" s="1019">
        <f t="shared" si="1"/>
        <v>33.5</v>
      </c>
      <c r="O31" s="268" t="str">
        <f>INDEX(ETAPP!B$1:B$32,MATCH(COUNTIF(V31:AE31,PVO!A$1),ETAPP!A$1:A$32,0))&amp;INDEX(ETAPP!B$1:B$32,MATCH(COUNTIF(V31:AE31,PVO!A$2),ETAPP!A$1:A$32,0))&amp;INDEX(ETAPP!B$1:B$32,MATCH(COUNTIF(V31:AE31,PVO!A$3),ETAPP!A$1:A$32,0))&amp;INDEX(ETAPP!B$1:B$32,MATCH(COUNTIF(V31:AE31,PVO!A$4),ETAPP!A$1:A$32,0))&amp;INDEX(ETAPP!B$1:B$32,MATCH(COUNTIF(V31:AE31,PVO!A$5),ETAPP!A$1:A$32,0))&amp;INDEX(ETAPP!B$1:B$32,MATCH(COUNTIF(V31:AE31,PVO!A$6),ETAPP!A$1:A$32,0))&amp;INDEX(ETAPP!B$1:B$32,MATCH(COUNTIF(V31:AE31,PVO!A$7),ETAPP!A$1:A$32,0))&amp;INDEX(ETAPP!B$1:B$32,MATCH(COUNTIF(V31:AE31,PVO!A$8),ETAPP!A$1:A$32,0))&amp;INDEX(ETAPP!B$1:B$32,MATCH(COUNTIF(V31:AE31,PVO!A$9),ETAPP!A$1:A$32,0))&amp;INDEX(ETAPP!B$1:B$32,MATCH(COUNTIF(V31:AE31,PVO!A$10),ETAPP!A$1:A$32,0))&amp;INDEX(ETAPP!B$1:B$32,MATCH(COUNTIF(V31:AE31,PVO!A$11),ETAPP!A$1:A$32,0))&amp;INDEX(ETAPP!B$1:B$32,MATCH(COUNTIF(V31:AE31,PVO!A$12),ETAPP!A$1:A$32,0))&amp;INDEX(ETAPP!B$1:B$32,MATCH(COUNTIF(V31:AE31,PVO!A$13),ETAPP!A$1:A$32,0))&amp;INDEX(ETAPP!B$1:B$32,MATCH(COUNTIF(V31:AE31,PVO!A$14),ETAPP!A$1:A$32,0))&amp;INDEX(ETAPP!B$1:B$32,MATCH(COUNTIF(V31:AE31,PVO!A$15),ETAPP!A$1:A$32,0))&amp;INDEX(ETAPP!B$1:B$32,MATCH(COUNTIF(V31:AE31,PVO!A$16),ETAPP!A$1:A$32,0))&amp;INDEX(ETAPP!B$1:B$32,MATCH(COUNTIF(V31:AE31,PVO!A$17),ETAPP!A$1:A$32,0))&amp;INDEX(ETAPP!B$1:B$32,MATCH(COUNTIF(V31:AE31,PVO!A$18),ETAPP!A$1:A$32,0))&amp;INDEX(ETAPP!B$1:B$32,MATCH(COUNTIF(V31:AE31,PVO!A$19),ETAPP!A$1:A$32,0))&amp;INDEX(ETAPP!B$1:B$32,MATCH(COUNTIF(V31:AE31,PVO!A$20),ETAPP!A$1:A$32,0))&amp;INDEX(ETAPP!B$1:B$32,MATCH(COUNTIF(V31:AE31,PVO!A$21),ETAPP!A$1:A$32,0))&amp;INDEX(ETAPP!B$1:B$32,MATCH(COUNTIF(V31:AE31,PVO!A$22),ETAPP!A$1:A$32,0))</f>
        <v>000000000AA00000A00C0C</v>
      </c>
      <c r="P31" s="268" t="str">
        <f t="shared" si="2"/>
        <v>033,5-000000000AA00000A00C0C</v>
      </c>
      <c r="Q31" s="268">
        <f>COUNTIF(P$7:P$66,"&gt;="&amp;P31)</f>
        <v>25</v>
      </c>
      <c r="R31" s="268">
        <f>COUNTIF(I$7:I$66,"&gt;="&amp;I31)</f>
        <v>57</v>
      </c>
      <c r="S31" s="268" t="str">
        <f t="shared" si="3"/>
        <v>033,5-000000000AA00000A00C0C-057</v>
      </c>
      <c r="T31" s="268">
        <f>COUNTIF(S$7:S$66,"&gt;="&amp;S31)</f>
        <v>25</v>
      </c>
      <c r="U31" s="832">
        <f>RANK(T31,T$7:T$66,0)</f>
        <v>36</v>
      </c>
      <c r="V31" s="210" t="str">
        <f>IFERROR(INDEX('V1'!C$300:C$400,MATCH("*"&amp;I31&amp;"*",'V1'!B$300:B$400,0)),"  ")</f>
        <v xml:space="preserve">  </v>
      </c>
      <c r="W31" s="210">
        <f>IFERROR(INDEX('V2'!C$300:C$400,MATCH("*"&amp;I31&amp;"*",'V2'!B$300:B$400,0)),"  ")</f>
        <v>5.5</v>
      </c>
      <c r="X31" s="210">
        <f>IFERROR(INDEX('V3'!C$300:C$400,MATCH("*"&amp;I31&amp;"*",'V3'!B$300:B$400,0)),"  ")</f>
        <v>11</v>
      </c>
      <c r="Y31" s="210" t="str">
        <f>IFERROR(INDEX('V4'!C$300:C$400,MATCH("*"&amp;I31&amp;"*",'V4'!B$300:B$400,0)),"  ")</f>
        <v xml:space="preserve">  </v>
      </c>
      <c r="Z31" s="210">
        <f>IFERROR(INDEX('V5'!C$300:C$400,MATCH("*"&amp;I31&amp;"*",'V5'!B$300:B$400,0)),"  ")</f>
        <v>1</v>
      </c>
      <c r="AA31" s="210">
        <f>IFERROR(INDEX('V6'!C$300:C$400,MATCH("*"&amp;I31&amp;"*",'V6'!B$300:B$400,0)),"  ")</f>
        <v>1</v>
      </c>
      <c r="AB31" s="210">
        <f>IFERROR(INDEX('V7'!C$300:C$400,MATCH("*"&amp;I31&amp;"*",'V7'!B$300:B$400,0)),"  ")</f>
        <v>10</v>
      </c>
      <c r="AC31" s="210" t="str">
        <f>IFERROR(INDEX('V8'!C$300:C$400,MATCH("*"&amp;I31&amp;"*",'V8'!B$300:B$400,0)),"  ")</f>
        <v xml:space="preserve">  </v>
      </c>
      <c r="AD31" s="210">
        <f>IFERROR(INDEX('V9'!C$300:C$400,MATCH("*"&amp;I31&amp;"*",'V9'!B$300:B$400,0)),"  ")</f>
        <v>1</v>
      </c>
      <c r="AE31" s="210">
        <f>IFERROR(INDEX('V10'!C$300:C$400,MATCH("*"&amp;I31&amp;"*",'V10'!B$300:B$400,0)),"  ")</f>
        <v>4</v>
      </c>
      <c r="AF31" s="211">
        <f t="shared" si="4"/>
        <v>1</v>
      </c>
      <c r="AG31" s="211">
        <f t="shared" si="8"/>
        <v>36</v>
      </c>
      <c r="AH31" s="1362" t="str">
        <f>IFERROR(IF(COUNTIF(V31:AE31,"&gt;0")&gt;=3,"edasi ","puudu "&amp;3-COUNT(V31:AE31))&amp;IF(OR(COUNTIF(V31:AE31,"&gt;0")&lt;3,COUNTIF(AE$7:AE$66,"&gt;0")=0),"",RANK(AG31,AG$7:AG$66,0)),"")</f>
        <v>edasi 25</v>
      </c>
      <c r="AI31" s="959">
        <f>IFERROR(INDEX('V-Fin'!A$300:A$325,MATCH(I31,'V-Fin'!B$300:B$325,0)),"")</f>
        <v>8</v>
      </c>
      <c r="AJ31" s="214">
        <f t="shared" si="5"/>
        <v>7</v>
      </c>
      <c r="AK31" s="212">
        <f>IFERROR(IF(V31+1&gt;LARGE(V$7:V$66,1)-2,1),0)+IFERROR(IF(W31+1&gt;LARGE(W$7:W$66,1)-2,1),0)+IFERROR(IF(X31+1&gt;LARGE(X$7:X$66,1)-2,1),0)+IFERROR(IF(Y31+1&gt;LARGE(Y$7:Y$66,1)-2,1),0)+IFERROR(IF(Z31+1&gt;LARGE(Z$7:Z$66,1)-2,1),0)+IFERROR(IF(AA31+1&gt;LARGE(AA$7:AA$66,1)-2,1),0)+IFERROR(IF(AB31+1&gt;LARGE(AB$7:AB$66,1)-2,1),0)+IFERROR(IF(AC31+1&gt;LARGE(AC$7:AC$66,1)-2,1),0)+IFERROR(IF(AD31+1&gt;LARGE(AD$7:AD$66,1)-2,1),0)+IFERROR(IF(AE31+1&gt;LARGE(AE$7:AE$66,1)-2,1),0)</f>
        <v>1</v>
      </c>
      <c r="AL31" s="212">
        <f>IF(V31=0,0,IF(V31=IFERROR(LARGE(V$7:V$66,1),0),1,0))+IF(W31=0,0,IF(W31=IFERROR(LARGE(W$7:W$66,1),0),1,0))+IF(X31=0,0,IF(X31=IFERROR(LARGE(X$7:X$66,1),0),1,0))+IF(Y31=0,0,IF(Y31=IFERROR(LARGE(Y$7:Y$66,1),0),1,0))+IF(Z31=0,0,IF(Z31=IFERROR(LARGE(Z$7:Z$66,1),0),1,0))+IF(AA31=0,0,IF(AA31=IFERROR(LARGE(AA$7:AA$66,1),0),1,0))+IF(AB31=0,0,IF(AB31=IFERROR(LARGE(AB$7:AB$66,1),0),1,0))+IF(AC31=0,0,IF(AC31=IFERROR(LARGE(AC$7:AC$66,1),0),1,0))+IF(AD31=0,0,IF(AD31=IFERROR(LARGE(AD$7:AD$66,1),0),1,0))+IF(AE31=0,0,IF(AE31=IFERROR(LARGE(AE$7:AE$66,1),0),1,0))</f>
        <v>1</v>
      </c>
    </row>
    <row r="32" spans="1:38" x14ac:dyDescent="0.2">
      <c r="A32" s="1026" t="str">
        <f>IF(M32="k",RANK(B32,B$7:B$66,0),"")</f>
        <v/>
      </c>
      <c r="B32" s="266">
        <f t="shared" si="0"/>
        <v>0</v>
      </c>
      <c r="C32" s="944"/>
      <c r="D32" s="1029">
        <f>IF(J32="n",RANK(E32,E$7:E$66,0),"")</f>
        <v>2</v>
      </c>
      <c r="E32" s="1028">
        <f t="shared" si="6"/>
        <v>10031</v>
      </c>
      <c r="F32" s="1025" t="str">
        <f>IF(K32="j",RANK(G32,G$7:G$66,0),"")</f>
        <v/>
      </c>
      <c r="G32" s="266">
        <f t="shared" si="7"/>
        <v>0</v>
      </c>
      <c r="H32" s="209">
        <f>IF(N32&gt;0,RANK(Q32,Q$7:Q$66,1),"")</f>
        <v>26</v>
      </c>
      <c r="I32" s="267" t="s">
        <v>121</v>
      </c>
      <c r="J32" s="269" t="s">
        <v>137</v>
      </c>
      <c r="K32" s="270"/>
      <c r="L32" s="1381"/>
      <c r="M32" s="274"/>
      <c r="N32" s="1019">
        <f t="shared" si="1"/>
        <v>31</v>
      </c>
      <c r="O32" s="268" t="str">
        <f>INDEX(ETAPP!B$1:B$32,MATCH(COUNTIF(V32:AE32,PVO!A$1),ETAPP!A$1:A$32,0))&amp;INDEX(ETAPP!B$1:B$32,MATCH(COUNTIF(V32:AE32,PVO!A$2),ETAPP!A$1:A$32,0))&amp;INDEX(ETAPP!B$1:B$32,MATCH(COUNTIF(V32:AE32,PVO!A$3),ETAPP!A$1:A$32,0))&amp;INDEX(ETAPP!B$1:B$32,MATCH(COUNTIF(V32:AE32,PVO!A$4),ETAPP!A$1:A$32,0))&amp;INDEX(ETAPP!B$1:B$32,MATCH(COUNTIF(V32:AE32,PVO!A$5),ETAPP!A$1:A$32,0))&amp;INDEX(ETAPP!B$1:B$32,MATCH(COUNTIF(V32:AE32,PVO!A$6),ETAPP!A$1:A$32,0))&amp;INDEX(ETAPP!B$1:B$32,MATCH(COUNTIF(V32:AE32,PVO!A$7),ETAPP!A$1:A$32,0))&amp;INDEX(ETAPP!B$1:B$32,MATCH(COUNTIF(V32:AE32,PVO!A$8),ETAPP!A$1:A$32,0))&amp;INDEX(ETAPP!B$1:B$32,MATCH(COUNTIF(V32:AE32,PVO!A$9),ETAPP!A$1:A$32,0))&amp;INDEX(ETAPP!B$1:B$32,MATCH(COUNTIF(V32:AE32,PVO!A$10),ETAPP!A$1:A$32,0))&amp;INDEX(ETAPP!B$1:B$32,MATCH(COUNTIF(V32:AE32,PVO!A$11),ETAPP!A$1:A$32,0))&amp;INDEX(ETAPP!B$1:B$32,MATCH(COUNTIF(V32:AE32,PVO!A$12),ETAPP!A$1:A$32,0))&amp;INDEX(ETAPP!B$1:B$32,MATCH(COUNTIF(V32:AE32,PVO!A$13),ETAPP!A$1:A$32,0))&amp;INDEX(ETAPP!B$1:B$32,MATCH(COUNTIF(V32:AE32,PVO!A$14),ETAPP!A$1:A$32,0))&amp;INDEX(ETAPP!B$1:B$32,MATCH(COUNTIF(V32:AE32,PVO!A$15),ETAPP!A$1:A$32,0))&amp;INDEX(ETAPP!B$1:B$32,MATCH(COUNTIF(V32:AE32,PVO!A$16),ETAPP!A$1:A$32,0))&amp;INDEX(ETAPP!B$1:B$32,MATCH(COUNTIF(V32:AE32,PVO!A$17),ETAPP!A$1:A$32,0))&amp;INDEX(ETAPP!B$1:B$32,MATCH(COUNTIF(V32:AE32,PVO!A$18),ETAPP!A$1:A$32,0))&amp;INDEX(ETAPP!B$1:B$32,MATCH(COUNTIF(V32:AE32,PVO!A$19),ETAPP!A$1:A$32,0))&amp;INDEX(ETAPP!B$1:B$32,MATCH(COUNTIF(V32:AE32,PVO!A$20),ETAPP!A$1:A$32,0))&amp;INDEX(ETAPP!B$1:B$32,MATCH(COUNTIF(V32:AE32,PVO!A$21),ETAPP!A$1:A$32,0))&amp;INDEX(ETAPP!B$1:B$32,MATCH(COUNTIF(V32:AE32,PVO!A$22),ETAPP!A$1:A$32,0))</f>
        <v>0000AA000000000000000C</v>
      </c>
      <c r="P32" s="268" t="str">
        <f t="shared" si="2"/>
        <v>031,0-0000AA000000000000000C</v>
      </c>
      <c r="Q32" s="268">
        <f>COUNTIF(P$7:P$66,"&gt;="&amp;P32)</f>
        <v>26</v>
      </c>
      <c r="R32" s="268">
        <f>COUNTIF(I$7:I$66,"&gt;="&amp;I32)</f>
        <v>15</v>
      </c>
      <c r="S32" s="268" t="str">
        <f t="shared" si="3"/>
        <v>031,0-0000AA000000000000000C-015</v>
      </c>
      <c r="T32" s="268">
        <f>COUNTIF(S$7:S$66,"&gt;="&amp;S32)</f>
        <v>26</v>
      </c>
      <c r="U32" s="832">
        <f>RANK(T32,T$7:T$66,0)</f>
        <v>35</v>
      </c>
      <c r="V32" s="210" t="str">
        <f>IFERROR(INDEX('V1'!C$300:C$400,MATCH("*"&amp;I32&amp;"*",'V1'!B$300:B$400,0)),"  ")</f>
        <v xml:space="preserve">  </v>
      </c>
      <c r="W32" s="210">
        <f>IFERROR(INDEX('V2'!C$300:C$400,MATCH("*"&amp;I32&amp;"*",'V2'!B$300:B$400,0)),"  ")</f>
        <v>16</v>
      </c>
      <c r="X32" s="210" t="str">
        <f>IFERROR(INDEX('V3'!C$300:C$400,MATCH("*"&amp;I32&amp;"*",'V3'!B$300:B$400,0)),"  ")</f>
        <v xml:space="preserve">  </v>
      </c>
      <c r="Y32" s="210" t="str">
        <f>IFERROR(INDEX('V4'!C$300:C$400,MATCH("*"&amp;I32&amp;"*",'V4'!B$300:B$400,0)),"  ")</f>
        <v xml:space="preserve">  </v>
      </c>
      <c r="Z32" s="210" t="str">
        <f>IFERROR(INDEX('V5'!C$300:C$400,MATCH("*"&amp;I32&amp;"*",'V5'!B$300:B$400,0)),"  ")</f>
        <v xml:space="preserve">  </v>
      </c>
      <c r="AA32" s="210">
        <f>IFERROR(INDEX('V6'!C$300:C$400,MATCH("*"&amp;I32&amp;"*",'V6'!B$300:B$400,0)),"  ")</f>
        <v>15</v>
      </c>
      <c r="AB32" s="210" t="str">
        <f>IFERROR(INDEX('V7'!C$300:C$400,MATCH("*"&amp;I32&amp;"*",'V7'!B$300:B$400,0)),"  ")</f>
        <v xml:space="preserve">  </v>
      </c>
      <c r="AC32" s="210" t="str">
        <f>IFERROR(INDEX('V8'!C$300:C$400,MATCH("*"&amp;I32&amp;"*",'V8'!B$300:B$400,0)),"  ")</f>
        <v xml:space="preserve">  </v>
      </c>
      <c r="AD32" s="210" t="str">
        <f>IFERROR(INDEX('V9'!C$300:C$400,MATCH("*"&amp;I32&amp;"*",'V9'!B$300:B$400,0)),"  ")</f>
        <v xml:space="preserve">  </v>
      </c>
      <c r="AE32" s="210" t="str">
        <f>IFERROR(INDEX('V10'!C$300:C$400,MATCH("*"&amp;I32&amp;"*",'V10'!B$300:B$400,0)),"  ")</f>
        <v xml:space="preserve">  </v>
      </c>
      <c r="AF32" s="211">
        <f t="shared" si="4"/>
        <v>0</v>
      </c>
      <c r="AG32" s="211" t="str">
        <f t="shared" si="8"/>
        <v/>
      </c>
      <c r="AH32" s="1362" t="str">
        <f>IFERROR(IF(COUNTIF(V32:AE32,"&gt;0")&gt;=3,"edasi ","puudu "&amp;3-COUNT(V32:AE32))&amp;IF(OR(COUNTIF(V32:AE32,"&gt;0")&lt;3,COUNTIF(AE$7:AE$66,"&gt;0")=0),"",RANK(AG32,AG$7:AG$66,0)),"")</f>
        <v>puudu 1</v>
      </c>
      <c r="AI32" s="959" t="str">
        <f>IFERROR(INDEX('V-Fin'!A$300:A$325,MATCH(I32,'V-Fin'!B$300:B$325,0)),"")</f>
        <v/>
      </c>
      <c r="AJ32" s="214">
        <f t="shared" si="5"/>
        <v>2</v>
      </c>
      <c r="AK32" s="212">
        <f>IFERROR(IF(V32+1&gt;LARGE(V$7:V$66,1)-2,1),0)+IFERROR(IF(W32+1&gt;LARGE(W$7:W$66,1)-2,1),0)+IFERROR(IF(X32+1&gt;LARGE(X$7:X$66,1)-2,1),0)+IFERROR(IF(Y32+1&gt;LARGE(Y$7:Y$66,1)-2,1),0)+IFERROR(IF(Z32+1&gt;LARGE(Z$7:Z$66,1)-2,1),0)+IFERROR(IF(AA32+1&gt;LARGE(AA$7:AA$66,1)-2,1),0)+IFERROR(IF(AB32+1&gt;LARGE(AB$7:AB$66,1)-2,1),0)+IFERROR(IF(AC32+1&gt;LARGE(AC$7:AC$66,1)-2,1),0)+IFERROR(IF(AD32+1&gt;LARGE(AD$7:AD$66,1)-2,1),0)+IFERROR(IF(AE32+1&gt;LARGE(AE$7:AE$66,1)-2,1),0)</f>
        <v>2</v>
      </c>
      <c r="AL32" s="212">
        <f>IF(V32=0,0,IF(V32=IFERROR(LARGE(V$7:V$66,1),0),1,0))+IF(W32=0,0,IF(W32=IFERROR(LARGE(W$7:W$66,1),0),1,0))+IF(X32=0,0,IF(X32=IFERROR(LARGE(X$7:X$66,1),0),1,0))+IF(Y32=0,0,IF(Y32=IFERROR(LARGE(Y$7:Y$66,1),0),1,0))+IF(Z32=0,0,IF(Z32=IFERROR(LARGE(Z$7:Z$66,1),0),1,0))+IF(AA32=0,0,IF(AA32=IFERROR(LARGE(AA$7:AA$66,1),0),1,0))+IF(AB32=0,0,IF(AB32=IFERROR(LARGE(AB$7:AB$66,1),0),1,0))+IF(AC32=0,0,IF(AC32=IFERROR(LARGE(AC$7:AC$66,1),0),1,0))+IF(AD32=0,0,IF(AD32=IFERROR(LARGE(AD$7:AD$66,1),0),1,0))+IF(AE32=0,0,IF(AE32=IFERROR(LARGE(AE$7:AE$66,1),0),1,0))</f>
        <v>1</v>
      </c>
    </row>
    <row r="33" spans="1:38" x14ac:dyDescent="0.2">
      <c r="A33" s="1026" t="str">
        <f>IF(M33="k",RANK(B33,B$7:B$66,0),"")</f>
        <v/>
      </c>
      <c r="B33" s="266">
        <f t="shared" si="0"/>
        <v>0</v>
      </c>
      <c r="C33" s="944"/>
      <c r="D33" s="1029" t="str">
        <f>IF(J33="n",RANK(E33,E$7:E$66,0),"")</f>
        <v/>
      </c>
      <c r="E33" s="1028">
        <f t="shared" si="6"/>
        <v>0</v>
      </c>
      <c r="F33" s="1025" t="str">
        <f>IF(K33="j",RANK(G33,G$7:G$66,0),"")</f>
        <v/>
      </c>
      <c r="G33" s="266">
        <f t="shared" si="7"/>
        <v>0</v>
      </c>
      <c r="H33" s="209">
        <f>IF(N33&gt;0,RANK(Q33,Q$7:Q$66,1),"")</f>
        <v>27</v>
      </c>
      <c r="I33" s="267" t="s">
        <v>98</v>
      </c>
      <c r="J33" s="269"/>
      <c r="K33" s="270"/>
      <c r="L33" s="1381"/>
      <c r="M33" s="274"/>
      <c r="N33" s="1019">
        <f t="shared" si="1"/>
        <v>31</v>
      </c>
      <c r="O33" s="268" t="str">
        <f>INDEX(ETAPP!B$1:B$32,MATCH(COUNTIF(V33:AE33,PVO!A$1),ETAPP!A$1:A$32,0))&amp;INDEX(ETAPP!B$1:B$32,MATCH(COUNTIF(V33:AE33,PVO!A$2),ETAPP!A$1:A$32,0))&amp;INDEX(ETAPP!B$1:B$32,MATCH(COUNTIF(V33:AE33,PVO!A$3),ETAPP!A$1:A$32,0))&amp;INDEX(ETAPP!B$1:B$32,MATCH(COUNTIF(V33:AE33,PVO!A$4),ETAPP!A$1:A$32,0))&amp;INDEX(ETAPP!B$1:B$32,MATCH(COUNTIF(V33:AE33,PVO!A$5),ETAPP!A$1:A$32,0))&amp;INDEX(ETAPP!B$1:B$32,MATCH(COUNTIF(V33:AE33,PVO!A$6),ETAPP!A$1:A$32,0))&amp;INDEX(ETAPP!B$1:B$32,MATCH(COUNTIF(V33:AE33,PVO!A$7),ETAPP!A$1:A$32,0))&amp;INDEX(ETAPP!B$1:B$32,MATCH(COUNTIF(V33:AE33,PVO!A$8),ETAPP!A$1:A$32,0))&amp;INDEX(ETAPP!B$1:B$32,MATCH(COUNTIF(V33:AE33,PVO!A$9),ETAPP!A$1:A$32,0))&amp;INDEX(ETAPP!B$1:B$32,MATCH(COUNTIF(V33:AE33,PVO!A$10),ETAPP!A$1:A$32,0))&amp;INDEX(ETAPP!B$1:B$32,MATCH(COUNTIF(V33:AE33,PVO!A$11),ETAPP!A$1:A$32,0))&amp;INDEX(ETAPP!B$1:B$32,MATCH(COUNTIF(V33:AE33,PVO!A$12),ETAPP!A$1:A$32,0))&amp;INDEX(ETAPP!B$1:B$32,MATCH(COUNTIF(V33:AE33,PVO!A$13),ETAPP!A$1:A$32,0))&amp;INDEX(ETAPP!B$1:B$32,MATCH(COUNTIF(V33:AE33,PVO!A$14),ETAPP!A$1:A$32,0))&amp;INDEX(ETAPP!B$1:B$32,MATCH(COUNTIF(V33:AE33,PVO!A$15),ETAPP!A$1:A$32,0))&amp;INDEX(ETAPP!B$1:B$32,MATCH(COUNTIF(V33:AE33,PVO!A$16),ETAPP!A$1:A$32,0))&amp;INDEX(ETAPP!B$1:B$32,MATCH(COUNTIF(V33:AE33,PVO!A$17),ETAPP!A$1:A$32,0))&amp;INDEX(ETAPP!B$1:B$32,MATCH(COUNTIF(V33:AE33,PVO!A$18),ETAPP!A$1:A$32,0))&amp;INDEX(ETAPP!B$1:B$32,MATCH(COUNTIF(V33:AE33,PVO!A$19),ETAPP!A$1:A$32,0))&amp;INDEX(ETAPP!B$1:B$32,MATCH(COUNTIF(V33:AE33,PVO!A$20),ETAPP!A$1:A$32,0))&amp;INDEX(ETAPP!B$1:B$32,MATCH(COUNTIF(V33:AE33,PVO!A$21),ETAPP!A$1:A$32,0))&amp;INDEX(ETAPP!B$1:B$32,MATCH(COUNTIF(V33:AE33,PVO!A$22),ETAPP!A$1:A$32,0))</f>
        <v>000000000A000A0000000F</v>
      </c>
      <c r="P33" s="268" t="str">
        <f t="shared" si="2"/>
        <v>031,0-000000000A000A0000000F</v>
      </c>
      <c r="Q33" s="268">
        <f>COUNTIF(P$7:P$66,"&gt;="&amp;P33)</f>
        <v>27</v>
      </c>
      <c r="R33" s="268">
        <f>COUNTIF(I$7:I$66,"&gt;="&amp;I33)</f>
        <v>54</v>
      </c>
      <c r="S33" s="268" t="str">
        <f t="shared" si="3"/>
        <v>031,0-000000000A000A0000000F-054</v>
      </c>
      <c r="T33" s="268">
        <f>COUNTIF(S$7:S$66,"&gt;="&amp;S33)</f>
        <v>27</v>
      </c>
      <c r="U33" s="832">
        <f>RANK(T33,T$7:T$66,0)</f>
        <v>34</v>
      </c>
      <c r="V33" s="210" t="str">
        <f>IFERROR(INDEX('V1'!C$300:C$400,MATCH("*"&amp;I33&amp;"*",'V1'!B$300:B$400,0)),"  ")</f>
        <v xml:space="preserve">  </v>
      </c>
      <c r="W33" s="210">
        <f>IFERROR(INDEX('V2'!C$300:C$400,MATCH("*"&amp;I33&amp;"*",'V2'!B$300:B$400,0)),"  ")</f>
        <v>7.5</v>
      </c>
      <c r="X33" s="210">
        <f>IFERROR(INDEX('V3'!C$300:C$400,MATCH("*"&amp;I33&amp;"*",'V3'!B$300:B$400,0)),"  ")</f>
        <v>11</v>
      </c>
      <c r="Y33" s="210" t="str">
        <f>IFERROR(INDEX('V4'!C$300:C$400,MATCH("*"&amp;I33&amp;"*",'V4'!B$300:B$400,0)),"  ")</f>
        <v xml:space="preserve">  </v>
      </c>
      <c r="Z33" s="210" t="str">
        <f>IFERROR(INDEX('V5'!C$300:C$400,MATCH("*"&amp;I33&amp;"*",'V5'!B$300:B$400,0)),"  ")</f>
        <v xml:space="preserve">  </v>
      </c>
      <c r="AA33" s="210" t="str">
        <f>IFERROR(INDEX('V6'!C$300:C$400,MATCH("*"&amp;I33&amp;"*",'V6'!B$300:B$400,0)),"  ")</f>
        <v xml:space="preserve">  </v>
      </c>
      <c r="AB33" s="210" t="str">
        <f>IFERROR(INDEX('V7'!C$300:C$400,MATCH("*"&amp;I33&amp;"*",'V7'!B$300:B$400,0)),"  ")</f>
        <v xml:space="preserve">  </v>
      </c>
      <c r="AC33" s="210" t="str">
        <f>IFERROR(INDEX('V8'!C$300:C$400,MATCH("*"&amp;I33&amp;"*",'V8'!B$300:B$400,0)),"  ")</f>
        <v xml:space="preserve">  </v>
      </c>
      <c r="AD33" s="210">
        <f>IFERROR(INDEX('V9'!C$300:C$400,MATCH("*"&amp;I33&amp;"*",'V9'!B$300:B$400,0)),"  ")</f>
        <v>5.5</v>
      </c>
      <c r="AE33" s="210">
        <f>IFERROR(INDEX('V10'!C$300:C$400,MATCH("*"&amp;I33&amp;"*",'V10'!B$300:B$400,0)),"  ")</f>
        <v>7</v>
      </c>
      <c r="AF33" s="211">
        <f t="shared" si="4"/>
        <v>1</v>
      </c>
      <c r="AG33" s="211">
        <f t="shared" si="8"/>
        <v>34</v>
      </c>
      <c r="AH33" s="1362" t="str">
        <f>IFERROR(IF(COUNTIF(V33:AE33,"&gt;0")&gt;=3,"edasi ","puudu "&amp;3-COUNT(V33:AE33))&amp;IF(OR(COUNTIF(V33:AE33,"&gt;0")&lt;3,COUNTIF(AE$7:AE$66,"&gt;0")=0),"",RANK(AG33,AG$7:AG$66,0)),"")</f>
        <v>edasi 26</v>
      </c>
      <c r="AI33" s="959" t="str">
        <f>IFERROR(INDEX('V-Fin'!A$300:A$325,MATCH(I33,'V-Fin'!B$300:B$325,0)),"")</f>
        <v/>
      </c>
      <c r="AJ33" s="214">
        <f t="shared" si="5"/>
        <v>4</v>
      </c>
      <c r="AK33" s="212">
        <f>IFERROR(IF(V33+1&gt;LARGE(V$7:V$66,1)-2,1),0)+IFERROR(IF(W33+1&gt;LARGE(W$7:W$66,1)-2,1),0)+IFERROR(IF(X33+1&gt;LARGE(X$7:X$66,1)-2,1),0)+IFERROR(IF(Y33+1&gt;LARGE(Y$7:Y$66,1)-2,1),0)+IFERROR(IF(Z33+1&gt;LARGE(Z$7:Z$66,1)-2,1),0)+IFERROR(IF(AA33+1&gt;LARGE(AA$7:AA$66,1)-2,1),0)+IFERROR(IF(AB33+1&gt;LARGE(AB$7:AB$66,1)-2,1),0)+IFERROR(IF(AC33+1&gt;LARGE(AC$7:AC$66,1)-2,1),0)+IFERROR(IF(AD33+1&gt;LARGE(AD$7:AD$66,1)-2,1),0)+IFERROR(IF(AE33+1&gt;LARGE(AE$7:AE$66,1)-2,1),0)</f>
        <v>0</v>
      </c>
      <c r="AL33" s="212">
        <f>IF(V33=0,0,IF(V33=IFERROR(LARGE(V$7:V$66,1),0),1,0))+IF(W33=0,0,IF(W33=IFERROR(LARGE(W$7:W$66,1),0),1,0))+IF(X33=0,0,IF(X33=IFERROR(LARGE(X$7:X$66,1),0),1,0))+IF(Y33=0,0,IF(Y33=IFERROR(LARGE(Y$7:Y$66,1),0),1,0))+IF(Z33=0,0,IF(Z33=IFERROR(LARGE(Z$7:Z$66,1),0),1,0))+IF(AA33=0,0,IF(AA33=IFERROR(LARGE(AA$7:AA$66,1),0),1,0))+IF(AB33=0,0,IF(AB33=IFERROR(LARGE(AB$7:AB$66,1),0),1,0))+IF(AC33=0,0,IF(AC33=IFERROR(LARGE(AC$7:AC$66,1),0),1,0))+IF(AD33=0,0,IF(AD33=IFERROR(LARGE(AD$7:AD$66,1),0),1,0))+IF(AE33=0,0,IF(AE33=IFERROR(LARGE(AE$7:AE$66,1),0),1,0))</f>
        <v>0</v>
      </c>
    </row>
    <row r="34" spans="1:38" x14ac:dyDescent="0.2">
      <c r="A34" s="1026" t="str">
        <f>IF(M34="k",RANK(B34,B$7:B$66,0),"")</f>
        <v/>
      </c>
      <c r="B34" s="266">
        <f t="shared" si="0"/>
        <v>0</v>
      </c>
      <c r="C34" s="944"/>
      <c r="D34" s="1029" t="str">
        <f>IF(J34="n",RANK(E34,E$7:E$66,0),"")</f>
        <v/>
      </c>
      <c r="E34" s="1028">
        <f t="shared" si="6"/>
        <v>0</v>
      </c>
      <c r="F34" s="1025" t="str">
        <f>IF(K34="j",RANK(G34,G$7:G$66,0),"")</f>
        <v/>
      </c>
      <c r="G34" s="266">
        <f t="shared" si="7"/>
        <v>0</v>
      </c>
      <c r="H34" s="209">
        <f>IF(N34&gt;0,RANK(Q34,Q$7:Q$66,1),"")</f>
        <v>28</v>
      </c>
      <c r="I34" s="213" t="s">
        <v>97</v>
      </c>
      <c r="J34" s="269"/>
      <c r="K34" s="270"/>
      <c r="L34" s="1382" t="s">
        <v>647</v>
      </c>
      <c r="M34" s="274"/>
      <c r="N34" s="1019">
        <f t="shared" si="1"/>
        <v>29</v>
      </c>
      <c r="O34" s="268" t="str">
        <f>INDEX(ETAPP!B$1:B$32,MATCH(COUNTIF(V34:AE34,PVO!A$1),ETAPP!A$1:A$32,0))&amp;INDEX(ETAPP!B$1:B$32,MATCH(COUNTIF(V34:AE34,PVO!A$2),ETAPP!A$1:A$32,0))&amp;INDEX(ETAPP!B$1:B$32,MATCH(COUNTIF(V34:AE34,PVO!A$3),ETAPP!A$1:A$32,0))&amp;INDEX(ETAPP!B$1:B$32,MATCH(COUNTIF(V34:AE34,PVO!A$4),ETAPP!A$1:A$32,0))&amp;INDEX(ETAPP!B$1:B$32,MATCH(COUNTIF(V34:AE34,PVO!A$5),ETAPP!A$1:A$32,0))&amp;INDEX(ETAPP!B$1:B$32,MATCH(COUNTIF(V34:AE34,PVO!A$6),ETAPP!A$1:A$32,0))&amp;INDEX(ETAPP!B$1:B$32,MATCH(COUNTIF(V34:AE34,PVO!A$7),ETAPP!A$1:A$32,0))&amp;INDEX(ETAPP!B$1:B$32,MATCH(COUNTIF(V34:AE34,PVO!A$8),ETAPP!A$1:A$32,0))&amp;INDEX(ETAPP!B$1:B$32,MATCH(COUNTIF(V34:AE34,PVO!A$9),ETAPP!A$1:A$32,0))&amp;INDEX(ETAPP!B$1:B$32,MATCH(COUNTIF(V34:AE34,PVO!A$10),ETAPP!A$1:A$32,0))&amp;INDEX(ETAPP!B$1:B$32,MATCH(COUNTIF(V34:AE34,PVO!A$11),ETAPP!A$1:A$32,0))&amp;INDEX(ETAPP!B$1:B$32,MATCH(COUNTIF(V34:AE34,PVO!A$12),ETAPP!A$1:A$32,0))&amp;INDEX(ETAPP!B$1:B$32,MATCH(COUNTIF(V34:AE34,PVO!A$13),ETAPP!A$1:A$32,0))&amp;INDEX(ETAPP!B$1:B$32,MATCH(COUNTIF(V34:AE34,PVO!A$14),ETAPP!A$1:A$32,0))&amp;INDEX(ETAPP!B$1:B$32,MATCH(COUNTIF(V34:AE34,PVO!A$15),ETAPP!A$1:A$32,0))&amp;INDEX(ETAPP!B$1:B$32,MATCH(COUNTIF(V34:AE34,PVO!A$16),ETAPP!A$1:A$32,0))&amp;INDEX(ETAPP!B$1:B$32,MATCH(COUNTIF(V34:AE34,PVO!A$17),ETAPP!A$1:A$32,0))&amp;INDEX(ETAPP!B$1:B$32,MATCH(COUNTIF(V34:AE34,PVO!A$18),ETAPP!A$1:A$32,0))&amp;INDEX(ETAPP!B$1:B$32,MATCH(COUNTIF(V34:AE34,PVO!A$19),ETAPP!A$1:A$32,0))&amp;INDEX(ETAPP!B$1:B$32,MATCH(COUNTIF(V34:AE34,PVO!A$20),ETAPP!A$1:A$32,0))&amp;INDEX(ETAPP!B$1:B$32,MATCH(COUNTIF(V34:AE34,PVO!A$21),ETAPP!A$1:A$32,0))&amp;INDEX(ETAPP!B$1:B$32,MATCH(COUNTIF(V34:AE34,PVO!A$22),ETAPP!A$1:A$32,0))</f>
        <v>000000000AA00000A0AB0D</v>
      </c>
      <c r="P34" s="268" t="str">
        <f t="shared" si="2"/>
        <v>029,0-000000000AA00000A0AB0D</v>
      </c>
      <c r="Q34" s="268">
        <f>COUNTIF(P$7:P$66,"&gt;="&amp;P34)</f>
        <v>28</v>
      </c>
      <c r="R34" s="268">
        <f>COUNTIF(I$7:I$66,"&gt;="&amp;I34)</f>
        <v>56</v>
      </c>
      <c r="S34" s="268" t="str">
        <f t="shared" si="3"/>
        <v>029,0-000000000AA00000A0AB0D-056</v>
      </c>
      <c r="T34" s="268">
        <f>COUNTIF(S$7:S$66,"&gt;="&amp;S34)</f>
        <v>28</v>
      </c>
      <c r="U34" s="832">
        <f>RANK(T34,T$7:T$66,0)</f>
        <v>33</v>
      </c>
      <c r="V34" s="210" t="str">
        <f>IFERROR(INDEX('V1'!C$300:C$400,MATCH("*"&amp;I34&amp;"*",'V1'!B$300:B$400,0)),"  ")</f>
        <v xml:space="preserve">  </v>
      </c>
      <c r="W34" s="210">
        <f>IFERROR(INDEX('V2'!C$300:C$400,MATCH("*"&amp;I34&amp;"*",'V2'!B$300:B$400,0)),"  ")</f>
        <v>1</v>
      </c>
      <c r="X34" s="210">
        <f>IFERROR(INDEX('V3'!C$300:C$400,MATCH("*"&amp;I34&amp;"*",'V3'!B$300:B$400,0)),"  ")</f>
        <v>2</v>
      </c>
      <c r="Y34" s="210">
        <f>IFERROR(INDEX('V4'!C$300:C$400,MATCH("*"&amp;I34&amp;"*",'V4'!B$300:B$400,0)),"  ")</f>
        <v>4</v>
      </c>
      <c r="Z34" s="210">
        <f>IFERROR(INDEX('V5'!C$300:C$400,MATCH("*"&amp;I34&amp;"*",'V5'!B$300:B$400,0)),"  ")</f>
        <v>10</v>
      </c>
      <c r="AA34" s="210">
        <f>IFERROR(INDEX('V6'!C$300:C$400,MATCH("*"&amp;I34&amp;"*",'V6'!B$300:B$400,0)),"  ")</f>
        <v>11</v>
      </c>
      <c r="AB34" s="210" t="str">
        <f>IFERROR(INDEX('V7'!C$300:C$400,MATCH("*"&amp;I34&amp;"*",'V7'!B$300:B$400,0)),"  ")</f>
        <v xml:space="preserve">  </v>
      </c>
      <c r="AC34" s="210" t="str">
        <f>IFERROR(INDEX('V8'!C$300:C$400,MATCH("*"&amp;I34&amp;"*",'V8'!B$300:B$400,0)),"  ")</f>
        <v xml:space="preserve">  </v>
      </c>
      <c r="AD34" s="210" t="str">
        <f>IFERROR(INDEX('V9'!C$300:C$400,MATCH("*"&amp;I34&amp;"*",'V9'!B$300:B$400,0)),"  ")</f>
        <v xml:space="preserve">  </v>
      </c>
      <c r="AE34" s="210">
        <f>IFERROR(INDEX('V10'!C$300:C$400,MATCH("*"&amp;I34&amp;"*",'V10'!B$300:B$400,0)),"  ")</f>
        <v>1</v>
      </c>
      <c r="AF34" s="211">
        <f t="shared" si="4"/>
        <v>1</v>
      </c>
      <c r="AG34" s="211">
        <f t="shared" si="8"/>
        <v>33</v>
      </c>
      <c r="AH34" s="1362" t="str">
        <f>IFERROR(IF(COUNTIF(V34:AE34,"&gt;0")&gt;=3,"edasi ","puudu "&amp;3-COUNT(V34:AE34))&amp;IF(OR(COUNTIF(V34:AE34,"&gt;0")&lt;3,COUNTIF(AE$7:AE$66,"&gt;0")=0),"",RANK(AG34,AG$7:AG$66,0)),"")</f>
        <v>edasi 27</v>
      </c>
      <c r="AI34" s="959">
        <f>IFERROR(INDEX('V-Fin'!A$300:A$325,MATCH(I34,'V-Fin'!B$300:B$325,0)),"")</f>
        <v>21</v>
      </c>
      <c r="AJ34" s="214">
        <f t="shared" si="5"/>
        <v>6</v>
      </c>
      <c r="AK34" s="212">
        <f>IFERROR(IF(V34+1&gt;LARGE(V$7:V$66,1)-2,1),0)+IFERROR(IF(W34+1&gt;LARGE(W$7:W$66,1)-2,1),0)+IFERROR(IF(X34+1&gt;LARGE(X$7:X$66,1)-2,1),0)+IFERROR(IF(Y34+1&gt;LARGE(Y$7:Y$66,1)-2,1),0)+IFERROR(IF(Z34+1&gt;LARGE(Z$7:Z$66,1)-2,1),0)+IFERROR(IF(AA34+1&gt;LARGE(AA$7:AA$66,1)-2,1),0)+IFERROR(IF(AB34+1&gt;LARGE(AB$7:AB$66,1)-2,1),0)+IFERROR(IF(AC34+1&gt;LARGE(AC$7:AC$66,1)-2,1),0)+IFERROR(IF(AD34+1&gt;LARGE(AD$7:AD$66,1)-2,1),0)+IFERROR(IF(AE34+1&gt;LARGE(AE$7:AE$66,1)-2,1),0)</f>
        <v>0</v>
      </c>
      <c r="AL34" s="212">
        <f>IF(V34=0,0,IF(V34=IFERROR(LARGE(V$7:V$66,1),0),1,0))+IF(W34=0,0,IF(W34=IFERROR(LARGE(W$7:W$66,1),0),1,0))+IF(X34=0,0,IF(X34=IFERROR(LARGE(X$7:X$66,1),0),1,0))+IF(Y34=0,0,IF(Y34=IFERROR(LARGE(Y$7:Y$66,1),0),1,0))+IF(Z34=0,0,IF(Z34=IFERROR(LARGE(Z$7:Z$66,1),0),1,0))+IF(AA34=0,0,IF(AA34=IFERROR(LARGE(AA$7:AA$66,1),0),1,0))+IF(AB34=0,0,IF(AB34=IFERROR(LARGE(AB$7:AB$66,1),0),1,0))+IF(AC34=0,0,IF(AC34=IFERROR(LARGE(AC$7:AC$66,1),0),1,0))+IF(AD34=0,0,IF(AD34=IFERROR(LARGE(AD$7:AD$66,1),0),1,0))+IF(AE34=0,0,IF(AE34=IFERROR(LARGE(AE$7:AE$66,1),0),1,0))</f>
        <v>0</v>
      </c>
    </row>
    <row r="35" spans="1:38" x14ac:dyDescent="0.2">
      <c r="A35" s="1026" t="str">
        <f>IF(M35="k",RANK(B35,B$7:B$66,0),"")</f>
        <v/>
      </c>
      <c r="B35" s="266">
        <f t="shared" si="0"/>
        <v>0</v>
      </c>
      <c r="C35" s="944"/>
      <c r="D35" s="1029" t="str">
        <f>IF(J35="n",RANK(E35,E$7:E$66,0),"")</f>
        <v/>
      </c>
      <c r="E35" s="1028">
        <f t="shared" si="6"/>
        <v>0</v>
      </c>
      <c r="F35" s="1025" t="str">
        <f>IF(K35="j",RANK(G35,G$7:G$66,0),"")</f>
        <v/>
      </c>
      <c r="G35" s="266">
        <f t="shared" si="7"/>
        <v>0</v>
      </c>
      <c r="H35" s="209">
        <f>IF(N35&gt;0,RANK(Q35,Q$7:Q$66,1),"")</f>
        <v>29</v>
      </c>
      <c r="I35" s="213" t="s">
        <v>106</v>
      </c>
      <c r="J35" s="269"/>
      <c r="K35" s="270"/>
      <c r="L35" s="1381"/>
      <c r="M35" s="274"/>
      <c r="N35" s="1019">
        <f t="shared" si="1"/>
        <v>28</v>
      </c>
      <c r="O35" s="268" t="str">
        <f>INDEX(ETAPP!B$1:B$32,MATCH(COUNTIF(V35:AE35,PVO!A$1),ETAPP!A$1:A$32,0))&amp;INDEX(ETAPP!B$1:B$32,MATCH(COUNTIF(V35:AE35,PVO!A$2),ETAPP!A$1:A$32,0))&amp;INDEX(ETAPP!B$1:B$32,MATCH(COUNTIF(V35:AE35,PVO!A$3),ETAPP!A$1:A$32,0))&amp;INDEX(ETAPP!B$1:B$32,MATCH(COUNTIF(V35:AE35,PVO!A$4),ETAPP!A$1:A$32,0))&amp;INDEX(ETAPP!B$1:B$32,MATCH(COUNTIF(V35:AE35,PVO!A$5),ETAPP!A$1:A$32,0))&amp;INDEX(ETAPP!B$1:B$32,MATCH(COUNTIF(V35:AE35,PVO!A$6),ETAPP!A$1:A$32,0))&amp;INDEX(ETAPP!B$1:B$32,MATCH(COUNTIF(V35:AE35,PVO!A$7),ETAPP!A$1:A$32,0))&amp;INDEX(ETAPP!B$1:B$32,MATCH(COUNTIF(V35:AE35,PVO!A$8),ETAPP!A$1:A$32,0))&amp;INDEX(ETAPP!B$1:B$32,MATCH(COUNTIF(V35:AE35,PVO!A$9),ETAPP!A$1:A$32,0))&amp;INDEX(ETAPP!B$1:B$32,MATCH(COUNTIF(V35:AE35,PVO!A$10),ETAPP!A$1:A$32,0))&amp;INDEX(ETAPP!B$1:B$32,MATCH(COUNTIF(V35:AE35,PVO!A$11),ETAPP!A$1:A$32,0))&amp;INDEX(ETAPP!B$1:B$32,MATCH(COUNTIF(V35:AE35,PVO!A$12),ETAPP!A$1:A$32,0))&amp;INDEX(ETAPP!B$1:B$32,MATCH(COUNTIF(V35:AE35,PVO!A$13),ETAPP!A$1:A$32,0))&amp;INDEX(ETAPP!B$1:B$32,MATCH(COUNTIF(V35:AE35,PVO!A$14),ETAPP!A$1:A$32,0))&amp;INDEX(ETAPP!B$1:B$32,MATCH(COUNTIF(V35:AE35,PVO!A$15),ETAPP!A$1:A$32,0))&amp;INDEX(ETAPP!B$1:B$32,MATCH(COUNTIF(V35:AE35,PVO!A$16),ETAPP!A$1:A$32,0))&amp;INDEX(ETAPP!B$1:B$32,MATCH(COUNTIF(V35:AE35,PVO!A$17),ETAPP!A$1:A$32,0))&amp;INDEX(ETAPP!B$1:B$32,MATCH(COUNTIF(V35:AE35,PVO!A$18),ETAPP!A$1:A$32,0))&amp;INDEX(ETAPP!B$1:B$32,MATCH(COUNTIF(V35:AE35,PVO!A$19),ETAPP!A$1:A$32,0))&amp;INDEX(ETAPP!B$1:B$32,MATCH(COUNTIF(V35:AE35,PVO!A$20),ETAPP!A$1:A$32,0))&amp;INDEX(ETAPP!B$1:B$32,MATCH(COUNTIF(V35:AE35,PVO!A$21),ETAPP!A$1:A$32,0))&amp;INDEX(ETAPP!B$1:B$32,MATCH(COUNTIF(V35:AE35,PVO!A$22),ETAPP!A$1:A$32,0))</f>
        <v>000000B00000000000000C</v>
      </c>
      <c r="P35" s="268" t="str">
        <f t="shared" si="2"/>
        <v>028,0-000000B00000000000000C</v>
      </c>
      <c r="Q35" s="268">
        <f>COUNTIF(P$7:P$66,"&gt;="&amp;P35)</f>
        <v>29</v>
      </c>
      <c r="R35" s="268">
        <f>COUNTIF(I$7:I$66,"&gt;="&amp;I35)</f>
        <v>32</v>
      </c>
      <c r="S35" s="268" t="str">
        <f t="shared" si="3"/>
        <v>028,0-000000B00000000000000C-032</v>
      </c>
      <c r="T35" s="268">
        <f>COUNTIF(S$7:S$66,"&gt;="&amp;S35)</f>
        <v>29</v>
      </c>
      <c r="U35" s="832">
        <f>RANK(T35,T$7:T$66,0)</f>
        <v>32</v>
      </c>
      <c r="V35" s="210" t="str">
        <f>IFERROR(INDEX('V1'!C$300:C$400,MATCH("*"&amp;I35&amp;"*",'V1'!B$300:B$400,0)),"  ")</f>
        <v xml:space="preserve">  </v>
      </c>
      <c r="W35" s="210" t="str">
        <f>IFERROR(INDEX('V2'!C$300:C$400,MATCH("*"&amp;I35&amp;"*",'V2'!B$300:B$400,0)),"  ")</f>
        <v xml:space="preserve">  </v>
      </c>
      <c r="X35" s="210">
        <f>IFERROR(INDEX('V3'!C$300:C$400,MATCH("*"&amp;I35&amp;"*",'V3'!B$300:B$400,0)),"  ")</f>
        <v>14</v>
      </c>
      <c r="Y35" s="210" t="str">
        <f>IFERROR(INDEX('V4'!C$300:C$400,MATCH("*"&amp;I35&amp;"*",'V4'!B$300:B$400,0)),"  ")</f>
        <v xml:space="preserve">  </v>
      </c>
      <c r="Z35" s="210" t="str">
        <f>IFERROR(INDEX('V5'!C$300:C$400,MATCH("*"&amp;I35&amp;"*",'V5'!B$300:B$400,0)),"  ")</f>
        <v xml:space="preserve">  </v>
      </c>
      <c r="AA35" s="210" t="str">
        <f>IFERROR(INDEX('V6'!C$300:C$400,MATCH("*"&amp;I35&amp;"*",'V6'!B$300:B$400,0)),"  ")</f>
        <v xml:space="preserve">  </v>
      </c>
      <c r="AB35" s="210" t="str">
        <f>IFERROR(INDEX('V7'!C$300:C$400,MATCH("*"&amp;I35&amp;"*",'V7'!B$300:B$400,0)),"  ")</f>
        <v xml:space="preserve">  </v>
      </c>
      <c r="AC35" s="210" t="str">
        <f>IFERROR(INDEX('V8'!C$300:C$400,MATCH("*"&amp;I35&amp;"*",'V8'!B$300:B$400,0)),"  ")</f>
        <v xml:space="preserve">  </v>
      </c>
      <c r="AD35" s="210">
        <f>IFERROR(INDEX('V9'!C$300:C$400,MATCH("*"&amp;I35&amp;"*",'V9'!B$300:B$400,0)),"  ")</f>
        <v>14</v>
      </c>
      <c r="AE35" s="210" t="str">
        <f>IFERROR(INDEX('V10'!C$300:C$400,MATCH("*"&amp;I35&amp;"*",'V10'!B$300:B$400,0)),"  ")</f>
        <v xml:space="preserve">  </v>
      </c>
      <c r="AF35" s="211">
        <f t="shared" si="4"/>
        <v>0</v>
      </c>
      <c r="AG35" s="211" t="str">
        <f t="shared" si="8"/>
        <v/>
      </c>
      <c r="AH35" s="1362" t="str">
        <f>IFERROR(IF(COUNTIF(V35:AE35,"&gt;0")&gt;=3,"edasi ","puudu "&amp;3-COUNT(V35:AE35))&amp;IF(OR(COUNTIF(V35:AE35,"&gt;0")&lt;3,COUNTIF(AE$7:AE$66,"&gt;0")=0),"",RANK(AG35,AG$7:AG$66,0)),"")</f>
        <v>puudu 1</v>
      </c>
      <c r="AI35" s="959" t="str">
        <f>IFERROR(INDEX('V-Fin'!A$300:A$325,MATCH(I35,'V-Fin'!B$300:B$325,0)),"")</f>
        <v/>
      </c>
      <c r="AJ35" s="214">
        <f t="shared" si="5"/>
        <v>2</v>
      </c>
      <c r="AK35" s="212">
        <f>IFERROR(IF(V35+1&gt;LARGE(V$7:V$66,1)-2,1),0)+IFERROR(IF(W35+1&gt;LARGE(W$7:W$66,1)-2,1),0)+IFERROR(IF(X35+1&gt;LARGE(X$7:X$66,1)-2,1),0)+IFERROR(IF(Y35+1&gt;LARGE(Y$7:Y$66,1)-2,1),0)+IFERROR(IF(Z35+1&gt;LARGE(Z$7:Z$66,1)-2,1),0)+IFERROR(IF(AA35+1&gt;LARGE(AA$7:AA$66,1)-2,1),0)+IFERROR(IF(AB35+1&gt;LARGE(AB$7:AB$66,1)-2,1),0)+IFERROR(IF(AC35+1&gt;LARGE(AC$7:AC$66,1)-2,1),0)+IFERROR(IF(AD35+1&gt;LARGE(AD$7:AD$66,1)-2,1),0)+IFERROR(IF(AE35+1&gt;LARGE(AE$7:AE$66,1)-2,1),0)</f>
        <v>2</v>
      </c>
      <c r="AL35" s="212">
        <f>IF(V35=0,0,IF(V35=IFERROR(LARGE(V$7:V$66,1),0),1,0))+IF(W35=0,0,IF(W35=IFERROR(LARGE(W$7:W$66,1),0),1,0))+IF(X35=0,0,IF(X35=IFERROR(LARGE(X$7:X$66,1),0),1,0))+IF(Y35=0,0,IF(Y35=IFERROR(LARGE(Y$7:Y$66,1),0),1,0))+IF(Z35=0,0,IF(Z35=IFERROR(LARGE(Z$7:Z$66,1),0),1,0))+IF(AA35=0,0,IF(AA35=IFERROR(LARGE(AA$7:AA$66,1),0),1,0))+IF(AB35=0,0,IF(AB35=IFERROR(LARGE(AB$7:AB$66,1),0),1,0))+IF(AC35=0,0,IF(AC35=IFERROR(LARGE(AC$7:AC$66,1),0),1,0))+IF(AD35=0,0,IF(AD35=IFERROR(LARGE(AD$7:AD$66,1),0),1,0))+IF(AE35=0,0,IF(AE35=IFERROR(LARGE(AE$7:AE$66,1),0),1,0))</f>
        <v>1</v>
      </c>
    </row>
    <row r="36" spans="1:38" x14ac:dyDescent="0.2">
      <c r="A36" s="1026" t="str">
        <f>IF(M36="k",RANK(B36,B$7:B$66,0),"")</f>
        <v/>
      </c>
      <c r="B36" s="266">
        <f t="shared" si="0"/>
        <v>0</v>
      </c>
      <c r="C36" s="944"/>
      <c r="D36" s="1029">
        <f>IF(J36="n",RANK(E36,E$7:E$66,0),"")</f>
        <v>3</v>
      </c>
      <c r="E36" s="1028">
        <f t="shared" si="6"/>
        <v>10028</v>
      </c>
      <c r="F36" s="1025" t="str">
        <f>IF(K36="j",RANK(G36,G$7:G$66,0),"")</f>
        <v/>
      </c>
      <c r="G36" s="266">
        <f t="shared" si="7"/>
        <v>0</v>
      </c>
      <c r="H36" s="209">
        <f>IF(N36&gt;0,RANK(Q36,Q$7:Q$66,1),"")</f>
        <v>30</v>
      </c>
      <c r="I36" s="267" t="s">
        <v>104</v>
      </c>
      <c r="J36" s="269" t="s">
        <v>137</v>
      </c>
      <c r="K36" s="270"/>
      <c r="L36" s="1382" t="s">
        <v>647</v>
      </c>
      <c r="M36" s="274"/>
      <c r="N36" s="1019">
        <f t="shared" si="1"/>
        <v>28</v>
      </c>
      <c r="O36" s="268" t="str">
        <f>INDEX(ETAPP!B$1:B$32,MATCH(COUNTIF(V36:AE36,PVO!A$1),ETAPP!A$1:A$32,0))&amp;INDEX(ETAPP!B$1:B$32,MATCH(COUNTIF(V36:AE36,PVO!A$2),ETAPP!A$1:A$32,0))&amp;INDEX(ETAPP!B$1:B$32,MATCH(COUNTIF(V36:AE36,PVO!A$3),ETAPP!A$1:A$32,0))&amp;INDEX(ETAPP!B$1:B$32,MATCH(COUNTIF(V36:AE36,PVO!A$4),ETAPP!A$1:A$32,0))&amp;INDEX(ETAPP!B$1:B$32,MATCH(COUNTIF(V36:AE36,PVO!A$5),ETAPP!A$1:A$32,0))&amp;INDEX(ETAPP!B$1:B$32,MATCH(COUNTIF(V36:AE36,PVO!A$6),ETAPP!A$1:A$32,0))&amp;INDEX(ETAPP!B$1:B$32,MATCH(COUNTIF(V36:AE36,PVO!A$7),ETAPP!A$1:A$32,0))&amp;INDEX(ETAPP!B$1:B$32,MATCH(COUNTIF(V36:AE36,PVO!A$8),ETAPP!A$1:A$32,0))&amp;INDEX(ETAPP!B$1:B$32,MATCH(COUNTIF(V36:AE36,PVO!A$9),ETAPP!A$1:A$32,0))&amp;INDEX(ETAPP!B$1:B$32,MATCH(COUNTIF(V36:AE36,PVO!A$10),ETAPP!A$1:A$32,0))&amp;INDEX(ETAPP!B$1:B$32,MATCH(COUNTIF(V36:AE36,PVO!A$11),ETAPP!A$1:A$32,0))&amp;INDEX(ETAPP!B$1:B$32,MATCH(COUNTIF(V36:AE36,PVO!A$12),ETAPP!A$1:A$32,0))&amp;INDEX(ETAPP!B$1:B$32,MATCH(COUNTIF(V36:AE36,PVO!A$13),ETAPP!A$1:A$32,0))&amp;INDEX(ETAPP!B$1:B$32,MATCH(COUNTIF(V36:AE36,PVO!A$14),ETAPP!A$1:A$32,0))&amp;INDEX(ETAPP!B$1:B$32,MATCH(COUNTIF(V36:AE36,PVO!A$15),ETAPP!A$1:A$32,0))&amp;INDEX(ETAPP!B$1:B$32,MATCH(COUNTIF(V36:AE36,PVO!A$16),ETAPP!A$1:A$32,0))&amp;INDEX(ETAPP!B$1:B$32,MATCH(COUNTIF(V36:AE36,PVO!A$17),ETAPP!A$1:A$32,0))&amp;INDEX(ETAPP!B$1:B$32,MATCH(COUNTIF(V36:AE36,PVO!A$18),ETAPP!A$1:A$32,0))&amp;INDEX(ETAPP!B$1:B$32,MATCH(COUNTIF(V36:AE36,PVO!A$19),ETAPP!A$1:A$32,0))&amp;INDEX(ETAPP!B$1:B$32,MATCH(COUNTIF(V36:AE36,PVO!A$20),ETAPP!A$1:A$32,0))&amp;INDEX(ETAPP!B$1:B$32,MATCH(COUNTIF(V36:AE36,PVO!A$21),ETAPP!A$1:A$32,0))&amp;INDEX(ETAPP!B$1:B$32,MATCH(COUNTIF(V36:AE36,PVO!A$22),ETAPP!A$1:A$32,0))</f>
        <v>000000000AA00000A0AA0E</v>
      </c>
      <c r="P36" s="268" t="str">
        <f t="shared" si="2"/>
        <v>028,0-000000000AA00000A0AA0E</v>
      </c>
      <c r="Q36" s="268">
        <f>COUNTIF(P$7:P$66,"&gt;="&amp;P36)</f>
        <v>30</v>
      </c>
      <c r="R36" s="268">
        <f>COUNTIF(I$7:I$66,"&gt;="&amp;I36)</f>
        <v>14</v>
      </c>
      <c r="S36" s="268" t="str">
        <f t="shared" si="3"/>
        <v>028,0-000000000AA00000A0AA0E-014</v>
      </c>
      <c r="T36" s="268">
        <f>COUNTIF(S$7:S$66,"&gt;="&amp;S36)</f>
        <v>30</v>
      </c>
      <c r="U36" s="832">
        <f>RANK(T36,T$7:T$66,0)</f>
        <v>31</v>
      </c>
      <c r="V36" s="210" t="str">
        <f>IFERROR(INDEX('V1'!C$300:C$400,MATCH("*"&amp;I36&amp;"*",'V1'!B$300:B$400,0)),"  ")</f>
        <v xml:space="preserve">  </v>
      </c>
      <c r="W36" s="210">
        <f>IFERROR(INDEX('V2'!C$300:C$400,MATCH("*"&amp;I36&amp;"*",'V2'!B$300:B$400,0)),"  ")</f>
        <v>1</v>
      </c>
      <c r="X36" s="210">
        <f>IFERROR(INDEX('V3'!C$300:C$400,MATCH("*"&amp;I36&amp;"*",'V3'!B$300:B$400,0)),"  ")</f>
        <v>2</v>
      </c>
      <c r="Y36" s="210">
        <f>IFERROR(INDEX('V4'!C$300:C$400,MATCH("*"&amp;I36&amp;"*",'V4'!B$300:B$400,0)),"  ")</f>
        <v>4</v>
      </c>
      <c r="Z36" s="210">
        <f>IFERROR(INDEX('V5'!C$300:C$400,MATCH("*"&amp;I36&amp;"*",'V5'!B$300:B$400,0)),"  ")</f>
        <v>10</v>
      </c>
      <c r="AA36" s="210">
        <f>IFERROR(INDEX('V6'!C$300:C$400,MATCH("*"&amp;I36&amp;"*",'V6'!B$300:B$400,0)),"  ")</f>
        <v>11</v>
      </c>
      <c r="AB36" s="210" t="str">
        <f>IFERROR(INDEX('V7'!C$300:C$400,MATCH("*"&amp;I36&amp;"*",'V7'!B$300:B$400,0)),"  ")</f>
        <v xml:space="preserve">  </v>
      </c>
      <c r="AC36" s="210" t="str">
        <f>IFERROR(INDEX('V8'!C$300:C$400,MATCH("*"&amp;I36&amp;"*",'V8'!B$300:B$400,0)),"  ")</f>
        <v xml:space="preserve">  </v>
      </c>
      <c r="AD36" s="210" t="str">
        <f>IFERROR(INDEX('V9'!C$300:C$400,MATCH("*"&amp;I36&amp;"*",'V9'!B$300:B$400,0)),"  ")</f>
        <v xml:space="preserve">  </v>
      </c>
      <c r="AE36" s="210" t="str">
        <f>IFERROR(INDEX('V10'!C$300:C$400,MATCH("*"&amp;I36&amp;"*",'V10'!B$300:B$400,0)),"  ")</f>
        <v xml:space="preserve">  </v>
      </c>
      <c r="AF36" s="211">
        <f t="shared" si="4"/>
        <v>1</v>
      </c>
      <c r="AG36" s="211">
        <f t="shared" si="8"/>
        <v>31</v>
      </c>
      <c r="AH36" s="1362" t="str">
        <f>IFERROR(IF(COUNTIF(V36:AE36,"&gt;0")&gt;=3,"edasi ","puudu "&amp;3-COUNT(V36:AE36))&amp;IF(OR(COUNTIF(V36:AE36,"&gt;0")&lt;3,COUNTIF(AE$7:AE$66,"&gt;0")=0),"",RANK(AG36,AG$7:AG$66,0)),"")</f>
        <v>edasi 28</v>
      </c>
      <c r="AI36" s="959">
        <f>IFERROR(INDEX('V-Fin'!A$300:A$325,MATCH(I36,'V-Fin'!B$300:B$325,0)),"")</f>
        <v>4</v>
      </c>
      <c r="AJ36" s="214">
        <f t="shared" si="5"/>
        <v>5</v>
      </c>
      <c r="AK36" s="212">
        <f>IFERROR(IF(V36+1&gt;LARGE(V$7:V$66,1)-2,1),0)+IFERROR(IF(W36+1&gt;LARGE(W$7:W$66,1)-2,1),0)+IFERROR(IF(X36+1&gt;LARGE(X$7:X$66,1)-2,1),0)+IFERROR(IF(Y36+1&gt;LARGE(Y$7:Y$66,1)-2,1),0)+IFERROR(IF(Z36+1&gt;LARGE(Z$7:Z$66,1)-2,1),0)+IFERROR(IF(AA36+1&gt;LARGE(AA$7:AA$66,1)-2,1),0)+IFERROR(IF(AB36+1&gt;LARGE(AB$7:AB$66,1)-2,1),0)+IFERROR(IF(AC36+1&gt;LARGE(AC$7:AC$66,1)-2,1),0)+IFERROR(IF(AD36+1&gt;LARGE(AD$7:AD$66,1)-2,1),0)+IFERROR(IF(AE36+1&gt;LARGE(AE$7:AE$66,1)-2,1),0)</f>
        <v>0</v>
      </c>
      <c r="AL36" s="212">
        <f>IF(V36=0,0,IF(V36=IFERROR(LARGE(V$7:V$66,1),0),1,0))+IF(W36=0,0,IF(W36=IFERROR(LARGE(W$7:W$66,1),0),1,0))+IF(X36=0,0,IF(X36=IFERROR(LARGE(X$7:X$66,1),0),1,0))+IF(Y36=0,0,IF(Y36=IFERROR(LARGE(Y$7:Y$66,1),0),1,0))+IF(Z36=0,0,IF(Z36=IFERROR(LARGE(Z$7:Z$66,1),0),1,0))+IF(AA36=0,0,IF(AA36=IFERROR(LARGE(AA$7:AA$66,1),0),1,0))+IF(AB36=0,0,IF(AB36=IFERROR(LARGE(AB$7:AB$66,1),0),1,0))+IF(AC36=0,0,IF(AC36=IFERROR(LARGE(AC$7:AC$66,1),0),1,0))+IF(AD36=0,0,IF(AD36=IFERROR(LARGE(AD$7:AD$66,1),0),1,0))+IF(AE36=0,0,IF(AE36=IFERROR(LARGE(AE$7:AE$66,1),0),1,0))</f>
        <v>0</v>
      </c>
    </row>
    <row r="37" spans="1:38" x14ac:dyDescent="0.2">
      <c r="A37" s="1026">
        <f>IF(M37="k",RANK(B37,B$7:B$66,0),"")</f>
        <v>11</v>
      </c>
      <c r="B37" s="266">
        <f t="shared" si="0"/>
        <v>10026</v>
      </c>
      <c r="C37" s="944"/>
      <c r="D37" s="1029" t="str">
        <f>IF(J37="n",RANK(E37,E$7:E$66,0),"")</f>
        <v/>
      </c>
      <c r="E37" s="1028">
        <f t="shared" si="6"/>
        <v>0</v>
      </c>
      <c r="F37" s="1025" t="str">
        <f>IF(K37="j",RANK(G37,G$7:G$66,0),"")</f>
        <v/>
      </c>
      <c r="G37" s="266">
        <f t="shared" si="7"/>
        <v>0</v>
      </c>
      <c r="H37" s="209">
        <f>IF(N37&gt;0,RANK(Q37,Q$7:Q$66,1),"")</f>
        <v>31</v>
      </c>
      <c r="I37" s="267" t="s">
        <v>340</v>
      </c>
      <c r="J37" s="269"/>
      <c r="K37" s="270"/>
      <c r="L37" s="1381"/>
      <c r="M37" s="274" t="s">
        <v>187</v>
      </c>
      <c r="N37" s="1019">
        <f t="shared" si="1"/>
        <v>26</v>
      </c>
      <c r="O37" s="268" t="str">
        <f>INDEX(ETAPP!B$1:B$32,MATCH(COUNTIF(V37:AE37,PVO!A$1),ETAPP!A$1:A$32,0))&amp;INDEX(ETAPP!B$1:B$32,MATCH(COUNTIF(V37:AE37,PVO!A$2),ETAPP!A$1:A$32,0))&amp;INDEX(ETAPP!B$1:B$32,MATCH(COUNTIF(V37:AE37,PVO!A$3),ETAPP!A$1:A$32,0))&amp;INDEX(ETAPP!B$1:B$32,MATCH(COUNTIF(V37:AE37,PVO!A$4),ETAPP!A$1:A$32,0))&amp;INDEX(ETAPP!B$1:B$32,MATCH(COUNTIF(V37:AE37,PVO!A$5),ETAPP!A$1:A$32,0))&amp;INDEX(ETAPP!B$1:B$32,MATCH(COUNTIF(V37:AE37,PVO!A$6),ETAPP!A$1:A$32,0))&amp;INDEX(ETAPP!B$1:B$32,MATCH(COUNTIF(V37:AE37,PVO!A$7),ETAPP!A$1:A$32,0))&amp;INDEX(ETAPP!B$1:B$32,MATCH(COUNTIF(V37:AE37,PVO!A$8),ETAPP!A$1:A$32,0))&amp;INDEX(ETAPP!B$1:B$32,MATCH(COUNTIF(V37:AE37,PVO!A$9),ETAPP!A$1:A$32,0))&amp;INDEX(ETAPP!B$1:B$32,MATCH(COUNTIF(V37:AE37,PVO!A$10),ETAPP!A$1:A$32,0))&amp;INDEX(ETAPP!B$1:B$32,MATCH(COUNTIF(V37:AE37,PVO!A$11),ETAPP!A$1:A$32,0))&amp;INDEX(ETAPP!B$1:B$32,MATCH(COUNTIF(V37:AE37,PVO!A$12),ETAPP!A$1:A$32,0))&amp;INDEX(ETAPP!B$1:B$32,MATCH(COUNTIF(V37:AE37,PVO!A$13),ETAPP!A$1:A$32,0))&amp;INDEX(ETAPP!B$1:B$32,MATCH(COUNTIF(V37:AE37,PVO!A$14),ETAPP!A$1:A$32,0))&amp;INDEX(ETAPP!B$1:B$32,MATCH(COUNTIF(V37:AE37,PVO!A$15),ETAPP!A$1:A$32,0))&amp;INDEX(ETAPP!B$1:B$32,MATCH(COUNTIF(V37:AE37,PVO!A$16),ETAPP!A$1:A$32,0))&amp;INDEX(ETAPP!B$1:B$32,MATCH(COUNTIF(V37:AE37,PVO!A$17),ETAPP!A$1:A$32,0))&amp;INDEX(ETAPP!B$1:B$32,MATCH(COUNTIF(V37:AE37,PVO!A$18),ETAPP!A$1:A$32,0))&amp;INDEX(ETAPP!B$1:B$32,MATCH(COUNTIF(V37:AE37,PVO!A$19),ETAPP!A$1:A$32,0))&amp;INDEX(ETAPP!B$1:B$32,MATCH(COUNTIF(V37:AE37,PVO!A$20),ETAPP!A$1:A$32,0))&amp;INDEX(ETAPP!B$1:B$32,MATCH(COUNTIF(V37:AE37,PVO!A$21),ETAPP!A$1:A$32,0))&amp;INDEX(ETAPP!B$1:B$32,MATCH(COUNTIF(V37:AE37,PVO!A$22),ETAPP!A$1:A$32,0))</f>
        <v>000000A0A000000000000C</v>
      </c>
      <c r="P37" s="268" t="str">
        <f t="shared" si="2"/>
        <v>026,0-000000A0A000000000000C</v>
      </c>
      <c r="Q37" s="268">
        <f>COUNTIF(P$7:P$66,"&gt;="&amp;P37)</f>
        <v>31</v>
      </c>
      <c r="R37" s="268">
        <f>COUNTIF(I$7:I$66,"&gt;="&amp;I37)</f>
        <v>58</v>
      </c>
      <c r="S37" s="268" t="str">
        <f t="shared" si="3"/>
        <v>026,0-000000A0A000000000000C-058</v>
      </c>
      <c r="T37" s="268">
        <f>COUNTIF(S$7:S$66,"&gt;="&amp;S37)</f>
        <v>31</v>
      </c>
      <c r="U37" s="832">
        <f>RANK(T37,T$7:T$66,0)</f>
        <v>30</v>
      </c>
      <c r="V37" s="210" t="str">
        <f>IFERROR(INDEX('V1'!C$300:C$400,MATCH("*"&amp;I37&amp;"*",'V1'!B$300:B$400,0)),"  ")</f>
        <v xml:space="preserve">  </v>
      </c>
      <c r="W37" s="210">
        <f>IFERROR(INDEX('V2'!C$300:C$400,MATCH("*"&amp;I37&amp;"*",'V2'!B$300:B$400,0)),"  ")</f>
        <v>14</v>
      </c>
      <c r="X37" s="210" t="str">
        <f>IFERROR(INDEX('V3'!C$300:C$400,MATCH("*"&amp;I37&amp;"*",'V3'!B$300:B$400,0)),"  ")</f>
        <v xml:space="preserve">  </v>
      </c>
      <c r="Y37" s="210">
        <f>IFERROR(INDEX('V4'!C$300:C$400,MATCH("*"&amp;I37&amp;"*",'V4'!B$300:B$400,0)),"  ")</f>
        <v>12</v>
      </c>
      <c r="Z37" s="210" t="str">
        <f>IFERROR(INDEX('V5'!C$300:C$400,MATCH("*"&amp;I37&amp;"*",'V5'!B$300:B$400,0)),"  ")</f>
        <v xml:space="preserve">  </v>
      </c>
      <c r="AA37" s="210" t="str">
        <f>IFERROR(INDEX('V6'!C$300:C$400,MATCH("*"&amp;I37&amp;"*",'V6'!B$300:B$400,0)),"  ")</f>
        <v xml:space="preserve">  </v>
      </c>
      <c r="AB37" s="210" t="str">
        <f>IFERROR(INDEX('V7'!C$300:C$400,MATCH("*"&amp;I37&amp;"*",'V7'!B$300:B$400,0)),"  ")</f>
        <v xml:space="preserve">  </v>
      </c>
      <c r="AC37" s="210" t="str">
        <f>IFERROR(INDEX('V8'!C$300:C$400,MATCH("*"&amp;I37&amp;"*",'V8'!B$300:B$400,0)),"  ")</f>
        <v xml:space="preserve">  </v>
      </c>
      <c r="AD37" s="210" t="str">
        <f>IFERROR(INDEX('V9'!C$300:C$400,MATCH("*"&amp;I37&amp;"*",'V9'!B$300:B$400,0)),"  ")</f>
        <v xml:space="preserve">  </v>
      </c>
      <c r="AE37" s="210" t="str">
        <f>IFERROR(INDEX('V10'!C$300:C$400,MATCH("*"&amp;I37&amp;"*",'V10'!B$300:B$400,0)),"  ")</f>
        <v xml:space="preserve">  </v>
      </c>
      <c r="AF37" s="211">
        <f t="shared" si="4"/>
        <v>0</v>
      </c>
      <c r="AG37" s="211" t="str">
        <f t="shared" si="8"/>
        <v/>
      </c>
      <c r="AH37" s="1362" t="str">
        <f>IFERROR(IF(COUNTIF(V37:AE37,"&gt;0")&gt;=3,"edasi ","puudu "&amp;3-COUNT(V37:AE37))&amp;IF(OR(COUNTIF(V37:AE37,"&gt;0")&lt;3,COUNTIF(AE$7:AE$66,"&gt;0")=0),"",RANK(AG37,AG$7:AG$66,0)),"")</f>
        <v>puudu 1</v>
      </c>
      <c r="AI37" s="959" t="str">
        <f>IFERROR(INDEX('V-Fin'!A$300:A$325,MATCH(I37,'V-Fin'!B$300:B$325,0)),"")</f>
        <v/>
      </c>
      <c r="AJ37" s="214">
        <f t="shared" si="5"/>
        <v>2</v>
      </c>
      <c r="AK37" s="212">
        <f>IFERROR(IF(V37+1&gt;LARGE(V$7:V$66,1)-2,1),0)+IFERROR(IF(W37+1&gt;LARGE(W$7:W$66,1)-2,1),0)+IFERROR(IF(X37+1&gt;LARGE(X$7:X$66,1)-2,1),0)+IFERROR(IF(Y37+1&gt;LARGE(Y$7:Y$66,1)-2,1),0)+IFERROR(IF(Z37+1&gt;LARGE(Z$7:Z$66,1)-2,1),0)+IFERROR(IF(AA37+1&gt;LARGE(AA$7:AA$66,1)-2,1),0)+IFERROR(IF(AB37+1&gt;LARGE(AB$7:AB$66,1)-2,1),0)+IFERROR(IF(AC37+1&gt;LARGE(AC$7:AC$66,1)-2,1),0)+IFERROR(IF(AD37+1&gt;LARGE(AD$7:AD$66,1)-2,1),0)+IFERROR(IF(AE37+1&gt;LARGE(AE$7:AE$66,1)-2,1),0)</f>
        <v>2</v>
      </c>
      <c r="AL37" s="212">
        <f>IF(V37=0,0,IF(V37=IFERROR(LARGE(V$7:V$66,1),0),1,0))+IF(W37=0,0,IF(W37=IFERROR(LARGE(W$7:W$66,1),0),1,0))+IF(X37=0,0,IF(X37=IFERROR(LARGE(X$7:X$66,1),0),1,0))+IF(Y37=0,0,IF(Y37=IFERROR(LARGE(Y$7:Y$66,1),0),1,0))+IF(Z37=0,0,IF(Z37=IFERROR(LARGE(Z$7:Z$66,1),0),1,0))+IF(AA37=0,0,IF(AA37=IFERROR(LARGE(AA$7:AA$66,1),0),1,0))+IF(AB37=0,0,IF(AB37=IFERROR(LARGE(AB$7:AB$66,1),0),1,0))+IF(AC37=0,0,IF(AC37=IFERROR(LARGE(AC$7:AC$66,1),0),1,0))+IF(AD37=0,0,IF(AD37=IFERROR(LARGE(AD$7:AD$66,1),0),1,0))+IF(AE37=0,0,IF(AE37=IFERROR(LARGE(AE$7:AE$66,1),0),1,0))</f>
        <v>0</v>
      </c>
    </row>
    <row r="38" spans="1:38" x14ac:dyDescent="0.2">
      <c r="A38" s="1026">
        <f>IF(M38="k",RANK(B38,B$7:B$66,0),"")</f>
        <v>11</v>
      </c>
      <c r="B38" s="266">
        <f t="shared" si="0"/>
        <v>10026</v>
      </c>
      <c r="C38" s="944"/>
      <c r="D38" s="1029" t="str">
        <f>IF(J38="n",RANK(E38,E$7:E$66,0),"")</f>
        <v/>
      </c>
      <c r="E38" s="1028">
        <f t="shared" si="6"/>
        <v>0</v>
      </c>
      <c r="F38" s="1025" t="str">
        <f>IF(K38="j",RANK(G38,G$7:G$66,0),"")</f>
        <v/>
      </c>
      <c r="G38" s="266">
        <f t="shared" si="7"/>
        <v>0</v>
      </c>
      <c r="H38" s="209">
        <f>IF(N38&gt;0,RANK(Q38,Q$7:Q$66,1),"")</f>
        <v>32</v>
      </c>
      <c r="I38" s="267" t="s">
        <v>122</v>
      </c>
      <c r="J38" s="269"/>
      <c r="K38" s="270"/>
      <c r="L38" s="1382" t="s">
        <v>647</v>
      </c>
      <c r="M38" s="274" t="s">
        <v>187</v>
      </c>
      <c r="N38" s="1019">
        <f t="shared" si="1"/>
        <v>26</v>
      </c>
      <c r="O38" s="268" t="str">
        <f>INDEX(ETAPP!B$1:B$32,MATCH(COUNTIF(V38:AE38,PVO!A$1),ETAPP!A$1:A$32,0))&amp;INDEX(ETAPP!B$1:B$32,MATCH(COUNTIF(V38:AE38,PVO!A$2),ETAPP!A$1:A$32,0))&amp;INDEX(ETAPP!B$1:B$32,MATCH(COUNTIF(V38:AE38,PVO!A$3),ETAPP!A$1:A$32,0))&amp;INDEX(ETAPP!B$1:B$32,MATCH(COUNTIF(V38:AE38,PVO!A$4),ETAPP!A$1:A$32,0))&amp;INDEX(ETAPP!B$1:B$32,MATCH(COUNTIF(V38:AE38,PVO!A$5),ETAPP!A$1:A$32,0))&amp;INDEX(ETAPP!B$1:B$32,MATCH(COUNTIF(V38:AE38,PVO!A$6),ETAPP!A$1:A$32,0))&amp;INDEX(ETAPP!B$1:B$32,MATCH(COUNTIF(V38:AE38,PVO!A$7),ETAPP!A$1:A$32,0))&amp;INDEX(ETAPP!B$1:B$32,MATCH(COUNTIF(V38:AE38,PVO!A$8),ETAPP!A$1:A$32,0))&amp;INDEX(ETAPP!B$1:B$32,MATCH(COUNTIF(V38:AE38,PVO!A$9),ETAPP!A$1:A$32,0))&amp;INDEX(ETAPP!B$1:B$32,MATCH(COUNTIF(V38:AE38,PVO!A$10),ETAPP!A$1:A$32,0))&amp;INDEX(ETAPP!B$1:B$32,MATCH(COUNTIF(V38:AE38,PVO!A$11),ETAPP!A$1:A$32,0))&amp;INDEX(ETAPP!B$1:B$32,MATCH(COUNTIF(V38:AE38,PVO!A$12),ETAPP!A$1:A$32,0))&amp;INDEX(ETAPP!B$1:B$32,MATCH(COUNTIF(V38:AE38,PVO!A$13),ETAPP!A$1:A$32,0))&amp;INDEX(ETAPP!B$1:B$32,MATCH(COUNTIF(V38:AE38,PVO!A$14),ETAPP!A$1:A$32,0))&amp;INDEX(ETAPP!B$1:B$32,MATCH(COUNTIF(V38:AE38,PVO!A$15),ETAPP!A$1:A$32,0))&amp;INDEX(ETAPP!B$1:B$32,MATCH(COUNTIF(V38:AE38,PVO!A$16),ETAPP!A$1:A$32,0))&amp;INDEX(ETAPP!B$1:B$32,MATCH(COUNTIF(V38:AE38,PVO!A$17),ETAPP!A$1:A$32,0))&amp;INDEX(ETAPP!B$1:B$32,MATCH(COUNTIF(V38:AE38,PVO!A$18),ETAPP!A$1:A$32,0))&amp;INDEX(ETAPP!B$1:B$32,MATCH(COUNTIF(V38:AE38,PVO!A$19),ETAPP!A$1:A$32,0))&amp;INDEX(ETAPP!B$1:B$32,MATCH(COUNTIF(V38:AE38,PVO!A$20),ETAPP!A$1:A$32,0))&amp;INDEX(ETAPP!B$1:B$32,MATCH(COUNTIF(V38:AE38,PVO!A$21),ETAPP!A$1:A$32,0))&amp;INDEX(ETAPP!B$1:B$32,MATCH(COUNTIF(V38:AE38,PVO!A$22),ETAPP!A$1:A$32,0))</f>
        <v>0000000000000A0AAACA0B</v>
      </c>
      <c r="P38" s="268" t="str">
        <f t="shared" si="2"/>
        <v>026,0-0000000000000A0AAACA0B</v>
      </c>
      <c r="Q38" s="268">
        <f>COUNTIF(P$7:P$66,"&gt;="&amp;P38)</f>
        <v>32</v>
      </c>
      <c r="R38" s="268">
        <f>COUNTIF(I$7:I$66,"&gt;="&amp;I38)</f>
        <v>13</v>
      </c>
      <c r="S38" s="268" t="str">
        <f t="shared" si="3"/>
        <v>026,0-0000000000000A0AAACA0B-013</v>
      </c>
      <c r="T38" s="268">
        <f>COUNTIF(S$7:S$66,"&gt;="&amp;S38)</f>
        <v>32</v>
      </c>
      <c r="U38" s="832">
        <f>RANK(T38,T$7:T$66,0)</f>
        <v>29</v>
      </c>
      <c r="V38" s="210">
        <f>IFERROR(INDEX('V1'!C$300:C$400,MATCH("*"&amp;I38&amp;"*",'V1'!B$300:B$400,0)),"  ")</f>
        <v>1</v>
      </c>
      <c r="W38" s="210" t="str">
        <f>IFERROR(INDEX('V2'!C$300:C$400,MATCH("*"&amp;I38&amp;"*",'V2'!B$300:B$400,0)),"  ")</f>
        <v xml:space="preserve">  </v>
      </c>
      <c r="X38" s="210">
        <f>IFERROR(INDEX('V3'!C$300:C$400,MATCH("*"&amp;I38&amp;"*",'V3'!B$300:B$400,0)),"  ")</f>
        <v>5</v>
      </c>
      <c r="Y38" s="210">
        <f>IFERROR(INDEX('V4'!C$300:C$400,MATCH("*"&amp;I38&amp;"*",'V4'!B$300:B$400,0)),"  ")</f>
        <v>2</v>
      </c>
      <c r="Z38" s="210">
        <f>IFERROR(INDEX('V5'!C$300:C$400,MATCH("*"&amp;I38&amp;"*",'V5'!B$300:B$400,0)),"  ")</f>
        <v>3</v>
      </c>
      <c r="AA38" s="210">
        <f>IFERROR(INDEX('V6'!C$300:C$400,MATCH("*"&amp;I38&amp;"*",'V6'!B$300:B$400,0)),"  ")</f>
        <v>7</v>
      </c>
      <c r="AB38" s="210">
        <f>IFERROR(INDEX('V7'!C$300:C$400,MATCH("*"&amp;I38&amp;"*",'V7'!B$300:B$400,0)),"  ")</f>
        <v>2</v>
      </c>
      <c r="AC38" s="210" t="str">
        <f>IFERROR(INDEX('V8'!C$300:C$400,MATCH("*"&amp;I38&amp;"*",'V8'!B$300:B$400,0)),"  ")</f>
        <v xml:space="preserve">  </v>
      </c>
      <c r="AD38" s="210">
        <f>IFERROR(INDEX('V9'!C$300:C$400,MATCH("*"&amp;I38&amp;"*",'V9'!B$300:B$400,0)),"  ")</f>
        <v>4</v>
      </c>
      <c r="AE38" s="210">
        <f>IFERROR(INDEX('V10'!C$300:C$400,MATCH("*"&amp;I38&amp;"*",'V10'!B$300:B$400,0)),"  ")</f>
        <v>2</v>
      </c>
      <c r="AF38" s="211">
        <f t="shared" si="4"/>
        <v>1</v>
      </c>
      <c r="AG38" s="211">
        <f t="shared" si="8"/>
        <v>29</v>
      </c>
      <c r="AH38" s="1362" t="str">
        <f>IFERROR(IF(COUNTIF(V38:AE38,"&gt;0")&gt;=3,"edasi ","puudu "&amp;3-COUNT(V38:AE38))&amp;IF(OR(COUNTIF(V38:AE38,"&gt;0")&lt;3,COUNTIF(AE$7:AE$66,"&gt;0")=0),"",RANK(AG38,AG$7:AG$66,0)),"")</f>
        <v>edasi 29</v>
      </c>
      <c r="AI38" s="959">
        <f>IFERROR(INDEX('V-Fin'!A$300:A$325,MATCH(I38,'V-Fin'!B$300:B$325,0)),"")</f>
        <v>9</v>
      </c>
      <c r="AJ38" s="214">
        <f t="shared" si="5"/>
        <v>8</v>
      </c>
      <c r="AK38" s="212">
        <f>IFERROR(IF(V38+1&gt;LARGE(V$7:V$66,1)-2,1),0)+IFERROR(IF(W38+1&gt;LARGE(W$7:W$66,1)-2,1),0)+IFERROR(IF(X38+1&gt;LARGE(X$7:X$66,1)-2,1),0)+IFERROR(IF(Y38+1&gt;LARGE(Y$7:Y$66,1)-2,1),0)+IFERROR(IF(Z38+1&gt;LARGE(Z$7:Z$66,1)-2,1),0)+IFERROR(IF(AA38+1&gt;LARGE(AA$7:AA$66,1)-2,1),0)+IFERROR(IF(AB38+1&gt;LARGE(AB$7:AB$66,1)-2,1),0)+IFERROR(IF(AC38+1&gt;LARGE(AC$7:AC$66,1)-2,1),0)+IFERROR(IF(AD38+1&gt;LARGE(AD$7:AD$66,1)-2,1),0)+IFERROR(IF(AE38+1&gt;LARGE(AE$7:AE$66,1)-2,1),0)</f>
        <v>0</v>
      </c>
      <c r="AL38" s="212">
        <f>IF(V38=0,0,IF(V38=IFERROR(LARGE(V$7:V$66,1),0),1,0))+IF(W38=0,0,IF(W38=IFERROR(LARGE(W$7:W$66,1),0),1,0))+IF(X38=0,0,IF(X38=IFERROR(LARGE(X$7:X$66,1),0),1,0))+IF(Y38=0,0,IF(Y38=IFERROR(LARGE(Y$7:Y$66,1),0),1,0))+IF(Z38=0,0,IF(Z38=IFERROR(LARGE(Z$7:Z$66,1),0),1,0))+IF(AA38=0,0,IF(AA38=IFERROR(LARGE(AA$7:AA$66,1),0),1,0))+IF(AB38=0,0,IF(AB38=IFERROR(LARGE(AB$7:AB$66,1),0),1,0))+IF(AC38=0,0,IF(AC38=IFERROR(LARGE(AC$7:AC$66,1),0),1,0))+IF(AD38=0,0,IF(AD38=IFERROR(LARGE(AD$7:AD$66,1),0),1,0))+IF(AE38=0,0,IF(AE38=IFERROR(LARGE(AE$7:AE$66,1),0),1,0))</f>
        <v>0</v>
      </c>
    </row>
    <row r="39" spans="1:38" x14ac:dyDescent="0.2">
      <c r="A39" s="1026">
        <f>IF(M39="k",RANK(B39,B$7:B$66,0),"")</f>
        <v>13</v>
      </c>
      <c r="B39" s="266">
        <f t="shared" ref="B39:B66" si="9">IF((M39="k"),N39+10000,0)</f>
        <v>10024.5</v>
      </c>
      <c r="C39" s="944"/>
      <c r="D39" s="1029" t="str">
        <f>IF(J39="n",RANK(E39,E$7:E$66,0),"")</f>
        <v/>
      </c>
      <c r="E39" s="1028">
        <f t="shared" si="6"/>
        <v>0</v>
      </c>
      <c r="F39" s="1025" t="str">
        <f>IF(K39="j",RANK(G39,G$7:G$66,0),"")</f>
        <v/>
      </c>
      <c r="G39" s="266">
        <f t="shared" si="7"/>
        <v>0</v>
      </c>
      <c r="H39" s="209">
        <f>IF(N39&gt;0,RANK(Q39,Q$7:Q$66,1),"")</f>
        <v>33</v>
      </c>
      <c r="I39" s="949" t="s">
        <v>762</v>
      </c>
      <c r="J39" s="269"/>
      <c r="K39" s="270"/>
      <c r="L39" s="1382" t="s">
        <v>647</v>
      </c>
      <c r="M39" s="274" t="s">
        <v>187</v>
      </c>
      <c r="N39" s="1019">
        <f t="shared" ref="N39:N66" si="10">SUM(V39:AE39)</f>
        <v>24.5</v>
      </c>
      <c r="O39" s="268" t="str">
        <f>INDEX(ETAPP!B$1:B$32,MATCH(COUNTIF(V39:AE39,PVO!A$1),ETAPP!A$1:A$32,0))&amp;INDEX(ETAPP!B$1:B$32,MATCH(COUNTIF(V39:AE39,PVO!A$2),ETAPP!A$1:A$32,0))&amp;INDEX(ETAPP!B$1:B$32,MATCH(COUNTIF(V39:AE39,PVO!A$3),ETAPP!A$1:A$32,0))&amp;INDEX(ETAPP!B$1:B$32,MATCH(COUNTIF(V39:AE39,PVO!A$4),ETAPP!A$1:A$32,0))&amp;INDEX(ETAPP!B$1:B$32,MATCH(COUNTIF(V39:AE39,PVO!A$5),ETAPP!A$1:A$32,0))&amp;INDEX(ETAPP!B$1:B$32,MATCH(COUNTIF(V39:AE39,PVO!A$6),ETAPP!A$1:A$32,0))&amp;INDEX(ETAPP!B$1:B$32,MATCH(COUNTIF(V39:AE39,PVO!A$7),ETAPP!A$1:A$32,0))&amp;INDEX(ETAPP!B$1:B$32,MATCH(COUNTIF(V39:AE39,PVO!A$8),ETAPP!A$1:A$32,0))&amp;INDEX(ETAPP!B$1:B$32,MATCH(COUNTIF(V39:AE39,PVO!A$9),ETAPP!A$1:A$32,0))&amp;INDEX(ETAPP!B$1:B$32,MATCH(COUNTIF(V39:AE39,PVO!A$10),ETAPP!A$1:A$32,0))&amp;INDEX(ETAPP!B$1:B$32,MATCH(COUNTIF(V39:AE39,PVO!A$11),ETAPP!A$1:A$32,0))&amp;INDEX(ETAPP!B$1:B$32,MATCH(COUNTIF(V39:AE39,PVO!A$12),ETAPP!A$1:A$32,0))&amp;INDEX(ETAPP!B$1:B$32,MATCH(COUNTIF(V39:AE39,PVO!A$13),ETAPP!A$1:A$32,0))&amp;INDEX(ETAPP!B$1:B$32,MATCH(COUNTIF(V39:AE39,PVO!A$14),ETAPP!A$1:A$32,0))&amp;INDEX(ETAPP!B$1:B$32,MATCH(COUNTIF(V39:AE39,PVO!A$15),ETAPP!A$1:A$32,0))&amp;INDEX(ETAPP!B$1:B$32,MATCH(COUNTIF(V39:AE39,PVO!A$16),ETAPP!A$1:A$32,0))&amp;INDEX(ETAPP!B$1:B$32,MATCH(COUNTIF(V39:AE39,PVO!A$17),ETAPP!A$1:A$32,0))&amp;INDEX(ETAPP!B$1:B$32,MATCH(COUNTIF(V39:AE39,PVO!A$18),ETAPP!A$1:A$32,0))&amp;INDEX(ETAPP!B$1:B$32,MATCH(COUNTIF(V39:AE39,PVO!A$19),ETAPP!A$1:A$32,0))&amp;INDEX(ETAPP!B$1:B$32,MATCH(COUNTIF(V39:AE39,PVO!A$20),ETAPP!A$1:A$32,0))&amp;INDEX(ETAPP!B$1:B$32,MATCH(COUNTIF(V39:AE39,PVO!A$21),ETAPP!A$1:A$32,0))&amp;INDEX(ETAPP!B$1:B$32,MATCH(COUNTIF(V39:AE39,PVO!A$22),ETAPP!A$1:A$32,0))</f>
        <v>00000000000B000000A00F</v>
      </c>
      <c r="P39" s="268" t="str">
        <f t="shared" ref="P39:P66" si="11">TEXT(N39,"000,0")&amp;"-"&amp;O39</f>
        <v>024,5-00000000000B000000A00F</v>
      </c>
      <c r="Q39" s="268">
        <f>COUNTIF(P$7:P$66,"&gt;="&amp;P39)</f>
        <v>33</v>
      </c>
      <c r="R39" s="268">
        <f>COUNTIF(I$7:I$66,"&gt;="&amp;I39)</f>
        <v>19</v>
      </c>
      <c r="S39" s="268" t="str">
        <f t="shared" ref="S39:S66" si="12">TEXT(N39,"000,0")&amp;"-"&amp;O39&amp;"-"&amp;TEXT(R39,"000")</f>
        <v>024,5-00000000000B000000A00F-019</v>
      </c>
      <c r="T39" s="268">
        <f>COUNTIF(S$7:S$66,"&gt;="&amp;S39)</f>
        <v>33</v>
      </c>
      <c r="U39" s="832">
        <f>RANK(T39,T$7:T$66,0)</f>
        <v>28</v>
      </c>
      <c r="V39" s="210" t="str">
        <f>IFERROR(INDEX('V1'!C$300:C$400,MATCH("*"&amp;I39&amp;"*",'V1'!B$300:B$400,0)),"  ")</f>
        <v xml:space="preserve">  </v>
      </c>
      <c r="W39" s="210" t="str">
        <f>IFERROR(INDEX('V2'!C$300:C$400,MATCH("*"&amp;I39&amp;"*",'V2'!B$300:B$400,0)),"  ")</f>
        <v xml:space="preserve">  </v>
      </c>
      <c r="X39" s="210" t="str">
        <f>IFERROR(INDEX('V3'!C$300:C$400,MATCH("*"&amp;I39&amp;"*",'V3'!B$300:B$400,0)),"  ")</f>
        <v xml:space="preserve">  </v>
      </c>
      <c r="Y39" s="210">
        <f>IFERROR(INDEX('V4'!C$300:C$400,MATCH("*"&amp;I39&amp;"*",'V4'!B$300:B$400,0)),"  ")</f>
        <v>9</v>
      </c>
      <c r="Z39" s="210">
        <f>IFERROR(INDEX('V5'!C$300:C$400,MATCH("*"&amp;I39&amp;"*",'V5'!B$300:B$400,0)),"  ")</f>
        <v>2</v>
      </c>
      <c r="AA39" s="210">
        <f>IFERROR(INDEX('V6'!C$300:C$400,MATCH("*"&amp;I39&amp;"*",'V6'!B$300:B$400,0)),"  ")</f>
        <v>9</v>
      </c>
      <c r="AB39" s="210" t="str">
        <f>IFERROR(INDEX('V7'!C$300:C$400,MATCH("*"&amp;I39&amp;"*",'V7'!B$300:B$400,0)),"  ")</f>
        <v xml:space="preserve">  </v>
      </c>
      <c r="AC39" s="210">
        <f>IFERROR(INDEX('V8'!C$300:C$400,MATCH("*"&amp;I39&amp;"*",'V8'!B$300:B$400,0)),"  ")</f>
        <v>4.5</v>
      </c>
      <c r="AD39" s="210" t="str">
        <f>IFERROR(INDEX('V9'!C$300:C$400,MATCH("*"&amp;I39&amp;"*",'V9'!B$300:B$400,0)),"  ")</f>
        <v xml:space="preserve">  </v>
      </c>
      <c r="AE39" s="210" t="str">
        <f>IFERROR(INDEX('V10'!C$300:C$400,MATCH("*"&amp;I39&amp;"*",'V10'!B$300:B$400,0)),"  ")</f>
        <v xml:space="preserve">  </v>
      </c>
      <c r="AF39" s="211">
        <f t="shared" ref="AF39:AF66" si="13">IF(COUNTIF(V39:AE39,"&gt;0")&gt;=3,1,0)</f>
        <v>1</v>
      </c>
      <c r="AG39" s="211">
        <f t="shared" si="8"/>
        <v>28</v>
      </c>
      <c r="AH39" s="1362" t="str">
        <f>IFERROR(IF(COUNTIF(V39:AE39,"&gt;0")&gt;=3,"edasi ","puudu "&amp;3-COUNT(V39:AE39))&amp;IF(OR(COUNTIF(V39:AE39,"&gt;0")&lt;3,COUNTIF(AE$7:AE$66,"&gt;0")=0),"",RANK(AG39,AG$7:AG$66,0)),"")</f>
        <v>edasi 30</v>
      </c>
      <c r="AI39" s="959" t="str">
        <f>IFERROR(INDEX('V-Fin'!A$300:A$325,MATCH(I39,'V-Fin'!B$300:B$325,0)),"")</f>
        <v/>
      </c>
      <c r="AJ39" s="214">
        <f t="shared" ref="AJ39:AJ66" si="14">COUNTIF(V39:AE39,"&gt;=0")</f>
        <v>4</v>
      </c>
      <c r="AK39" s="212">
        <f>IFERROR(IF(V39+1&gt;LARGE(V$7:V$66,1)-2,1),0)+IFERROR(IF(W39+1&gt;LARGE(W$7:W$66,1)-2,1),0)+IFERROR(IF(X39+1&gt;LARGE(X$7:X$66,1)-2,1),0)+IFERROR(IF(Y39+1&gt;LARGE(Y$7:Y$66,1)-2,1),0)+IFERROR(IF(Z39+1&gt;LARGE(Z$7:Z$66,1)-2,1),0)+IFERROR(IF(AA39+1&gt;LARGE(AA$7:AA$66,1)-2,1),0)+IFERROR(IF(AB39+1&gt;LARGE(AB$7:AB$66,1)-2,1),0)+IFERROR(IF(AC39+1&gt;LARGE(AC$7:AC$66,1)-2,1),0)+IFERROR(IF(AD39+1&gt;LARGE(AD$7:AD$66,1)-2,1),0)+IFERROR(IF(AE39+1&gt;LARGE(AE$7:AE$66,1)-2,1),0)</f>
        <v>0</v>
      </c>
      <c r="AL39" s="212">
        <f>IF(V39=0,0,IF(V39=IFERROR(LARGE(V$7:V$66,1),0),1,0))+IF(W39=0,0,IF(W39=IFERROR(LARGE(W$7:W$66,1),0),1,0))+IF(X39=0,0,IF(X39=IFERROR(LARGE(X$7:X$66,1),0),1,0))+IF(Y39=0,0,IF(Y39=IFERROR(LARGE(Y$7:Y$66,1),0),1,0))+IF(Z39=0,0,IF(Z39=IFERROR(LARGE(Z$7:Z$66,1),0),1,0))+IF(AA39=0,0,IF(AA39=IFERROR(LARGE(AA$7:AA$66,1),0),1,0))+IF(AB39=0,0,IF(AB39=IFERROR(LARGE(AB$7:AB$66,1),0),1,0))+IF(AC39=0,0,IF(AC39=IFERROR(LARGE(AC$7:AC$66,1),0),1,0))+IF(AD39=0,0,IF(AD39=IFERROR(LARGE(AD$7:AD$66,1),0),1,0))+IF(AE39=0,0,IF(AE39=IFERROR(LARGE(AE$7:AE$66,1),0),1,0))</f>
        <v>0</v>
      </c>
    </row>
    <row r="40" spans="1:38" x14ac:dyDescent="0.2">
      <c r="A40" s="1026">
        <f>IF(M40="k",RANK(B40,B$7:B$66,0),"")</f>
        <v>14</v>
      </c>
      <c r="B40" s="266">
        <f t="shared" si="9"/>
        <v>10023.5</v>
      </c>
      <c r="C40" s="944"/>
      <c r="D40" s="1029">
        <f>IF(J40="n",RANK(E40,E$7:E$66,0),"")</f>
        <v>4</v>
      </c>
      <c r="E40" s="1028">
        <f t="shared" si="6"/>
        <v>10023.5</v>
      </c>
      <c r="F40" s="1025" t="str">
        <f>IF(K40="j",RANK(G40,G$7:G$66,0),"")</f>
        <v/>
      </c>
      <c r="G40" s="266">
        <f t="shared" si="7"/>
        <v>0</v>
      </c>
      <c r="H40" s="209">
        <f>IF(N40&gt;0,RANK(Q40,Q$7:Q$66,1),"")</f>
        <v>34</v>
      </c>
      <c r="I40" s="213" t="s">
        <v>110</v>
      </c>
      <c r="J40" s="269" t="s">
        <v>137</v>
      </c>
      <c r="K40" s="270"/>
      <c r="L40" s="1381"/>
      <c r="M40" s="274" t="s">
        <v>187</v>
      </c>
      <c r="N40" s="1019">
        <f t="shared" si="10"/>
        <v>23.5</v>
      </c>
      <c r="O40" s="268" t="str">
        <f>INDEX(ETAPP!B$1:B$32,MATCH(COUNTIF(V40:AE40,PVO!A$1),ETAPP!A$1:A$32,0))&amp;INDEX(ETAPP!B$1:B$32,MATCH(COUNTIF(V40:AE40,PVO!A$2),ETAPP!A$1:A$32,0))&amp;INDEX(ETAPP!B$1:B$32,MATCH(COUNTIF(V40:AE40,PVO!A$3),ETAPP!A$1:A$32,0))&amp;INDEX(ETAPP!B$1:B$32,MATCH(COUNTIF(V40:AE40,PVO!A$4),ETAPP!A$1:A$32,0))&amp;INDEX(ETAPP!B$1:B$32,MATCH(COUNTIF(V40:AE40,PVO!A$5),ETAPP!A$1:A$32,0))&amp;INDEX(ETAPP!B$1:B$32,MATCH(COUNTIF(V40:AE40,PVO!A$6),ETAPP!A$1:A$32,0))&amp;INDEX(ETAPP!B$1:B$32,MATCH(COUNTIF(V40:AE40,PVO!A$7),ETAPP!A$1:A$32,0))&amp;INDEX(ETAPP!B$1:B$32,MATCH(COUNTIF(V40:AE40,PVO!A$8),ETAPP!A$1:A$32,0))&amp;INDEX(ETAPP!B$1:B$32,MATCH(COUNTIF(V40:AE40,PVO!A$9),ETAPP!A$1:A$32,0))&amp;INDEX(ETAPP!B$1:B$32,MATCH(COUNTIF(V40:AE40,PVO!A$10),ETAPP!A$1:A$32,0))&amp;INDEX(ETAPP!B$1:B$32,MATCH(COUNTIF(V40:AE40,PVO!A$11),ETAPP!A$1:A$32,0))&amp;INDEX(ETAPP!B$1:B$32,MATCH(COUNTIF(V40:AE40,PVO!A$12),ETAPP!A$1:A$32,0))&amp;INDEX(ETAPP!B$1:B$32,MATCH(COUNTIF(V40:AE40,PVO!A$13),ETAPP!A$1:A$32,0))&amp;INDEX(ETAPP!B$1:B$32,MATCH(COUNTIF(V40:AE40,PVO!A$14),ETAPP!A$1:A$32,0))&amp;INDEX(ETAPP!B$1:B$32,MATCH(COUNTIF(V40:AE40,PVO!A$15),ETAPP!A$1:A$32,0))&amp;INDEX(ETAPP!B$1:B$32,MATCH(COUNTIF(V40:AE40,PVO!A$16),ETAPP!A$1:A$32,0))&amp;INDEX(ETAPP!B$1:B$32,MATCH(COUNTIF(V40:AE40,PVO!A$17),ETAPP!A$1:A$32,0))&amp;INDEX(ETAPP!B$1:B$32,MATCH(COUNTIF(V40:AE40,PVO!A$18),ETAPP!A$1:A$32,0))&amp;INDEX(ETAPP!B$1:B$32,MATCH(COUNTIF(V40:AE40,PVO!A$19),ETAPP!A$1:A$32,0))&amp;INDEX(ETAPP!B$1:B$32,MATCH(COUNTIF(V40:AE40,PVO!A$20),ETAPP!A$1:A$32,0))&amp;INDEX(ETAPP!B$1:B$32,MATCH(COUNTIF(V40:AE40,PVO!A$21),ETAPP!A$1:A$32,0))&amp;INDEX(ETAPP!B$1:B$32,MATCH(COUNTIF(V40:AE40,PVO!A$22),ETAPP!A$1:A$32,0))</f>
        <v>000000000A00000000A00G</v>
      </c>
      <c r="P40" s="268" t="str">
        <f t="shared" si="11"/>
        <v>023,5-000000000A00000000A00G</v>
      </c>
      <c r="Q40" s="268">
        <f>COUNTIF(P$7:P$66,"&gt;="&amp;P40)</f>
        <v>35</v>
      </c>
      <c r="R40" s="268">
        <f>COUNTIF(I$7:I$66,"&gt;="&amp;I40)</f>
        <v>59</v>
      </c>
      <c r="S40" s="268" t="str">
        <f t="shared" si="12"/>
        <v>023,5-000000000A00000000A00G-059</v>
      </c>
      <c r="T40" s="268">
        <f>COUNTIF(S$7:S$66,"&gt;="&amp;S40)</f>
        <v>34</v>
      </c>
      <c r="U40" s="832">
        <f>RANK(T40,T$7:T$66,0)</f>
        <v>27</v>
      </c>
      <c r="V40" s="210" t="str">
        <f>IFERROR(INDEX('V1'!C$300:C$400,MATCH("*"&amp;I40&amp;"*",'V1'!B$300:B$400,0)),"  ")</f>
        <v xml:space="preserve">  </v>
      </c>
      <c r="W40" s="210">
        <f>IFERROR(INDEX('V2'!C$300:C$400,MATCH("*"&amp;I40&amp;"*",'V2'!B$300:B$400,0)),"  ")</f>
        <v>2</v>
      </c>
      <c r="X40" s="210" t="str">
        <f>IFERROR(INDEX('V3'!C$300:C$400,MATCH("*"&amp;I40&amp;"*",'V3'!B$300:B$400,0)),"  ")</f>
        <v xml:space="preserve">  </v>
      </c>
      <c r="Y40" s="210" t="str">
        <f>IFERROR(INDEX('V4'!C$300:C$400,MATCH("*"&amp;I40&amp;"*",'V4'!B$300:B$400,0)),"  ")</f>
        <v xml:space="preserve">  </v>
      </c>
      <c r="Z40" s="210" t="str">
        <f>IFERROR(INDEX('V5'!C$300:C$400,MATCH("*"&amp;I40&amp;"*",'V5'!B$300:B$400,0)),"  ")</f>
        <v xml:space="preserve">  </v>
      </c>
      <c r="AA40" s="210">
        <f>IFERROR(INDEX('V6'!C$300:C$400,MATCH("*"&amp;I40&amp;"*",'V6'!B$300:B$400,0)),"  ")</f>
        <v>11</v>
      </c>
      <c r="AB40" s="210" t="str">
        <f>IFERROR(INDEX('V7'!C$300:C$400,MATCH("*"&amp;I40&amp;"*",'V7'!B$300:B$400,0)),"  ")</f>
        <v xml:space="preserve">  </v>
      </c>
      <c r="AC40" s="210">
        <f>IFERROR(INDEX('V8'!C$300:C$400,MATCH("*"&amp;I40&amp;"*",'V8'!B$300:B$400,0)),"  ")</f>
        <v>10.5</v>
      </c>
      <c r="AD40" s="210" t="str">
        <f>IFERROR(INDEX('V9'!C$300:C$400,MATCH("*"&amp;I40&amp;"*",'V9'!B$300:B$400,0)),"  ")</f>
        <v xml:space="preserve">  </v>
      </c>
      <c r="AE40" s="210" t="str">
        <f>IFERROR(INDEX('V10'!C$300:C$400,MATCH("*"&amp;I40&amp;"*",'V10'!B$300:B$400,0)),"  ")</f>
        <v xml:space="preserve">  </v>
      </c>
      <c r="AF40" s="211">
        <f t="shared" si="13"/>
        <v>1</v>
      </c>
      <c r="AG40" s="211">
        <f t="shared" si="8"/>
        <v>27</v>
      </c>
      <c r="AH40" s="1362" t="str">
        <f>IFERROR(IF(COUNTIF(V40:AE40,"&gt;0")&gt;=3,"edasi ","puudu "&amp;3-COUNT(V40:AE40))&amp;IF(OR(COUNTIF(V40:AE40,"&gt;0")&lt;3,COUNTIF(AE$7:AE$66,"&gt;0")=0),"",RANK(AG40,AG$7:AG$66,0)),"")</f>
        <v>edasi 31</v>
      </c>
      <c r="AI40" s="959" t="str">
        <f>IFERROR(INDEX('V-Fin'!A$300:A$325,MATCH(I40,'V-Fin'!B$300:B$325,0)),"")</f>
        <v/>
      </c>
      <c r="AJ40" s="214">
        <f t="shared" si="14"/>
        <v>3</v>
      </c>
      <c r="AK40" s="212">
        <f>IFERROR(IF(V40+1&gt;LARGE(V$7:V$66,1)-2,1),0)+IFERROR(IF(W40+1&gt;LARGE(W$7:W$66,1)-2,1),0)+IFERROR(IF(X40+1&gt;LARGE(X$7:X$66,1)-2,1),0)+IFERROR(IF(Y40+1&gt;LARGE(Y$7:Y$66,1)-2,1),0)+IFERROR(IF(Z40+1&gt;LARGE(Z$7:Z$66,1)-2,1),0)+IFERROR(IF(AA40+1&gt;LARGE(AA$7:AA$66,1)-2,1),0)+IFERROR(IF(AB40+1&gt;LARGE(AB$7:AB$66,1)-2,1),0)+IFERROR(IF(AC40+1&gt;LARGE(AC$7:AC$66,1)-2,1),0)+IFERROR(IF(AD40+1&gt;LARGE(AD$7:AD$66,1)-2,1),0)+IFERROR(IF(AE40+1&gt;LARGE(AE$7:AE$66,1)-2,1),0)</f>
        <v>1</v>
      </c>
      <c r="AL40" s="212">
        <f>IF(V40=0,0,IF(V40=IFERROR(LARGE(V$7:V$66,1),0),1,0))+IF(W40=0,0,IF(W40=IFERROR(LARGE(W$7:W$66,1),0),1,0))+IF(X40=0,0,IF(X40=IFERROR(LARGE(X$7:X$66,1),0),1,0))+IF(Y40=0,0,IF(Y40=IFERROR(LARGE(Y$7:Y$66,1),0),1,0))+IF(Z40=0,0,IF(Z40=IFERROR(LARGE(Z$7:Z$66,1),0),1,0))+IF(AA40=0,0,IF(AA40=IFERROR(LARGE(AA$7:AA$66,1),0),1,0))+IF(AB40=0,0,IF(AB40=IFERROR(LARGE(AB$7:AB$66,1),0),1,0))+IF(AC40=0,0,IF(AC40=IFERROR(LARGE(AC$7:AC$66,1),0),1,0))+IF(AD40=0,0,IF(AD40=IFERROR(LARGE(AD$7:AD$66,1),0),1,0))+IF(AE40=0,0,IF(AE40=IFERROR(LARGE(AE$7:AE$66,1),0),1,0))</f>
        <v>0</v>
      </c>
    </row>
    <row r="41" spans="1:38" x14ac:dyDescent="0.2">
      <c r="A41" s="1026">
        <f>IF(M41="k",RANK(B41,B$7:B$66,0),"")</f>
        <v>14</v>
      </c>
      <c r="B41" s="266">
        <f t="shared" si="9"/>
        <v>10023.5</v>
      </c>
      <c r="C41" s="944"/>
      <c r="D41" s="1029" t="str">
        <f>IF(J41="n",RANK(E41,E$7:E$66,0),"")</f>
        <v/>
      </c>
      <c r="E41" s="1028">
        <f t="shared" si="6"/>
        <v>0</v>
      </c>
      <c r="F41" s="1025" t="str">
        <f>IF(K41="j",RANK(G41,G$7:G$66,0),"")</f>
        <v/>
      </c>
      <c r="G41" s="266">
        <f t="shared" si="7"/>
        <v>0</v>
      </c>
      <c r="H41" s="209">
        <f>IF(N41&gt;0,RANK(Q41,Q$7:Q$66,1),"")</f>
        <v>34</v>
      </c>
      <c r="I41" s="213" t="s">
        <v>111</v>
      </c>
      <c r="J41" s="269"/>
      <c r="K41" s="270"/>
      <c r="L41" s="1381"/>
      <c r="M41" s="274" t="s">
        <v>187</v>
      </c>
      <c r="N41" s="1019">
        <f t="shared" si="10"/>
        <v>23.5</v>
      </c>
      <c r="O41" s="268" t="str">
        <f>INDEX(ETAPP!B$1:B$32,MATCH(COUNTIF(V41:AE41,PVO!A$1),ETAPP!A$1:A$32,0))&amp;INDEX(ETAPP!B$1:B$32,MATCH(COUNTIF(V41:AE41,PVO!A$2),ETAPP!A$1:A$32,0))&amp;INDEX(ETAPP!B$1:B$32,MATCH(COUNTIF(V41:AE41,PVO!A$3),ETAPP!A$1:A$32,0))&amp;INDEX(ETAPP!B$1:B$32,MATCH(COUNTIF(V41:AE41,PVO!A$4),ETAPP!A$1:A$32,0))&amp;INDEX(ETAPP!B$1:B$32,MATCH(COUNTIF(V41:AE41,PVO!A$5),ETAPP!A$1:A$32,0))&amp;INDEX(ETAPP!B$1:B$32,MATCH(COUNTIF(V41:AE41,PVO!A$6),ETAPP!A$1:A$32,0))&amp;INDEX(ETAPP!B$1:B$32,MATCH(COUNTIF(V41:AE41,PVO!A$7),ETAPP!A$1:A$32,0))&amp;INDEX(ETAPP!B$1:B$32,MATCH(COUNTIF(V41:AE41,PVO!A$8),ETAPP!A$1:A$32,0))&amp;INDEX(ETAPP!B$1:B$32,MATCH(COUNTIF(V41:AE41,PVO!A$9),ETAPP!A$1:A$32,0))&amp;INDEX(ETAPP!B$1:B$32,MATCH(COUNTIF(V41:AE41,PVO!A$10),ETAPP!A$1:A$32,0))&amp;INDEX(ETAPP!B$1:B$32,MATCH(COUNTIF(V41:AE41,PVO!A$11),ETAPP!A$1:A$32,0))&amp;INDEX(ETAPP!B$1:B$32,MATCH(COUNTIF(V41:AE41,PVO!A$12),ETAPP!A$1:A$32,0))&amp;INDEX(ETAPP!B$1:B$32,MATCH(COUNTIF(V41:AE41,PVO!A$13),ETAPP!A$1:A$32,0))&amp;INDEX(ETAPP!B$1:B$32,MATCH(COUNTIF(V41:AE41,PVO!A$14),ETAPP!A$1:A$32,0))&amp;INDEX(ETAPP!B$1:B$32,MATCH(COUNTIF(V41:AE41,PVO!A$15),ETAPP!A$1:A$32,0))&amp;INDEX(ETAPP!B$1:B$32,MATCH(COUNTIF(V41:AE41,PVO!A$16),ETAPP!A$1:A$32,0))&amp;INDEX(ETAPP!B$1:B$32,MATCH(COUNTIF(V41:AE41,PVO!A$17),ETAPP!A$1:A$32,0))&amp;INDEX(ETAPP!B$1:B$32,MATCH(COUNTIF(V41:AE41,PVO!A$18),ETAPP!A$1:A$32,0))&amp;INDEX(ETAPP!B$1:B$32,MATCH(COUNTIF(V41:AE41,PVO!A$19),ETAPP!A$1:A$32,0))&amp;INDEX(ETAPP!B$1:B$32,MATCH(COUNTIF(V41:AE41,PVO!A$20),ETAPP!A$1:A$32,0))&amp;INDEX(ETAPP!B$1:B$32,MATCH(COUNTIF(V41:AE41,PVO!A$21),ETAPP!A$1:A$32,0))&amp;INDEX(ETAPP!B$1:B$32,MATCH(COUNTIF(V41:AE41,PVO!A$22),ETAPP!A$1:A$32,0))</f>
        <v>000000000A00000000A00G</v>
      </c>
      <c r="P41" s="268" t="str">
        <f t="shared" si="11"/>
        <v>023,5-000000000A00000000A00G</v>
      </c>
      <c r="Q41" s="268">
        <f>COUNTIF(P$7:P$66,"&gt;="&amp;P41)</f>
        <v>35</v>
      </c>
      <c r="R41" s="268">
        <f>COUNTIF(I$7:I$66,"&gt;="&amp;I41)</f>
        <v>37</v>
      </c>
      <c r="S41" s="268" t="str">
        <f t="shared" si="12"/>
        <v>023,5-000000000A00000000A00G-037</v>
      </c>
      <c r="T41" s="268">
        <f>COUNTIF(S$7:S$66,"&gt;="&amp;S41)</f>
        <v>35</v>
      </c>
      <c r="U41" s="832">
        <f>RANK(T41,T$7:T$66,0)</f>
        <v>26</v>
      </c>
      <c r="V41" s="210" t="str">
        <f>IFERROR(INDEX('V1'!C$300:C$400,MATCH("*"&amp;I41&amp;"*",'V1'!B$300:B$400,0)),"  ")</f>
        <v xml:space="preserve">  </v>
      </c>
      <c r="W41" s="210">
        <f>IFERROR(INDEX('V2'!C$300:C$400,MATCH("*"&amp;I41&amp;"*",'V2'!B$300:B$400,0)),"  ")</f>
        <v>2</v>
      </c>
      <c r="X41" s="210" t="str">
        <f>IFERROR(INDEX('V3'!C$300:C$400,MATCH("*"&amp;I41&amp;"*",'V3'!B$300:B$400,0)),"  ")</f>
        <v xml:space="preserve">  </v>
      </c>
      <c r="Y41" s="210" t="str">
        <f>IFERROR(INDEX('V4'!C$300:C$400,MATCH("*"&amp;I41&amp;"*",'V4'!B$300:B$400,0)),"  ")</f>
        <v xml:space="preserve">  </v>
      </c>
      <c r="Z41" s="210" t="str">
        <f>IFERROR(INDEX('V5'!C$300:C$400,MATCH("*"&amp;I41&amp;"*",'V5'!B$300:B$400,0)),"  ")</f>
        <v xml:space="preserve">  </v>
      </c>
      <c r="AA41" s="210">
        <f>IFERROR(INDEX('V6'!C$300:C$400,MATCH("*"&amp;I41&amp;"*",'V6'!B$300:B$400,0)),"  ")</f>
        <v>11</v>
      </c>
      <c r="AB41" s="210" t="str">
        <f>IFERROR(INDEX('V7'!C$300:C$400,MATCH("*"&amp;I41&amp;"*",'V7'!B$300:B$400,0)),"  ")</f>
        <v xml:space="preserve">  </v>
      </c>
      <c r="AC41" s="210">
        <f>IFERROR(INDEX('V8'!C$300:C$400,MATCH("*"&amp;I41&amp;"*",'V8'!B$300:B$400,0)),"  ")</f>
        <v>10.5</v>
      </c>
      <c r="AD41" s="210" t="str">
        <f>IFERROR(INDEX('V9'!C$300:C$400,MATCH("*"&amp;I41&amp;"*",'V9'!B$300:B$400,0)),"  ")</f>
        <v xml:space="preserve">  </v>
      </c>
      <c r="AE41" s="210" t="str">
        <f>IFERROR(INDEX('V10'!C$300:C$400,MATCH("*"&amp;I41&amp;"*",'V10'!B$300:B$400,0)),"  ")</f>
        <v xml:space="preserve">  </v>
      </c>
      <c r="AF41" s="211">
        <f t="shared" si="13"/>
        <v>1</v>
      </c>
      <c r="AG41" s="211">
        <f t="shared" si="8"/>
        <v>26</v>
      </c>
      <c r="AH41" s="1362" t="str">
        <f>IFERROR(IF(COUNTIF(V41:AE41,"&gt;0")&gt;=3,"edasi ","puudu "&amp;3-COUNT(V41:AE41))&amp;IF(OR(COUNTIF(V41:AE41,"&gt;0")&lt;3,COUNTIF(AE$7:AE$66,"&gt;0")=0),"",RANK(AG41,AG$7:AG$66,0)),"")</f>
        <v>edasi 32</v>
      </c>
      <c r="AI41" s="959" t="str">
        <f>IFERROR(INDEX('V-Fin'!A$300:A$325,MATCH(I41,'V-Fin'!B$300:B$325,0)),"")</f>
        <v/>
      </c>
      <c r="AJ41" s="214">
        <f t="shared" si="14"/>
        <v>3</v>
      </c>
      <c r="AK41" s="212">
        <f>IFERROR(IF(V41+1&gt;LARGE(V$7:V$66,1)-2,1),0)+IFERROR(IF(W41+1&gt;LARGE(W$7:W$66,1)-2,1),0)+IFERROR(IF(X41+1&gt;LARGE(X$7:X$66,1)-2,1),0)+IFERROR(IF(Y41+1&gt;LARGE(Y$7:Y$66,1)-2,1),0)+IFERROR(IF(Z41+1&gt;LARGE(Z$7:Z$66,1)-2,1),0)+IFERROR(IF(AA41+1&gt;LARGE(AA$7:AA$66,1)-2,1),0)+IFERROR(IF(AB41+1&gt;LARGE(AB$7:AB$66,1)-2,1),0)+IFERROR(IF(AC41+1&gt;LARGE(AC$7:AC$66,1)-2,1),0)+IFERROR(IF(AD41+1&gt;LARGE(AD$7:AD$66,1)-2,1),0)+IFERROR(IF(AE41+1&gt;LARGE(AE$7:AE$66,1)-2,1),0)</f>
        <v>1</v>
      </c>
      <c r="AL41" s="212">
        <f>IF(V41=0,0,IF(V41=IFERROR(LARGE(V$7:V$66,1),0),1,0))+IF(W41=0,0,IF(W41=IFERROR(LARGE(W$7:W$66,1),0),1,0))+IF(X41=0,0,IF(X41=IFERROR(LARGE(X$7:X$66,1),0),1,0))+IF(Y41=0,0,IF(Y41=IFERROR(LARGE(Y$7:Y$66,1),0),1,0))+IF(Z41=0,0,IF(Z41=IFERROR(LARGE(Z$7:Z$66,1),0),1,0))+IF(AA41=0,0,IF(AA41=IFERROR(LARGE(AA$7:AA$66,1),0),1,0))+IF(AB41=0,0,IF(AB41=IFERROR(LARGE(AB$7:AB$66,1),0),1,0))+IF(AC41=0,0,IF(AC41=IFERROR(LARGE(AC$7:AC$66,1),0),1,0))+IF(AD41=0,0,IF(AD41=IFERROR(LARGE(AD$7:AD$66,1),0),1,0))+IF(AE41=0,0,IF(AE41=IFERROR(LARGE(AE$7:AE$66,1),0),1,0))</f>
        <v>0</v>
      </c>
    </row>
    <row r="42" spans="1:38" x14ac:dyDescent="0.2">
      <c r="A42" s="1026">
        <f>IF(M42="k",RANK(B42,B$7:B$66,0),"")</f>
        <v>16</v>
      </c>
      <c r="B42" s="266">
        <f t="shared" si="9"/>
        <v>10022.5</v>
      </c>
      <c r="C42" s="944"/>
      <c r="D42" s="1029">
        <f>IF(J42="n",RANK(E42,E$7:E$66,0),"")</f>
        <v>5</v>
      </c>
      <c r="E42" s="1028">
        <f t="shared" si="6"/>
        <v>10022.5</v>
      </c>
      <c r="F42" s="1025">
        <f>IF(K42="j",RANK(G42,G$7:G$66,0),"")</f>
        <v>3</v>
      </c>
      <c r="G42" s="266">
        <f t="shared" si="7"/>
        <v>10022.5</v>
      </c>
      <c r="H42" s="209">
        <f>IF(N42&gt;0,RANK(Q42,Q$7:Q$66,1),"")</f>
        <v>36</v>
      </c>
      <c r="I42" s="213" t="s">
        <v>264</v>
      </c>
      <c r="J42" s="269" t="s">
        <v>137</v>
      </c>
      <c r="K42" s="611" t="s">
        <v>138</v>
      </c>
      <c r="L42" s="1382" t="s">
        <v>647</v>
      </c>
      <c r="M42" s="274" t="s">
        <v>187</v>
      </c>
      <c r="N42" s="1019">
        <f t="shared" si="10"/>
        <v>22.5</v>
      </c>
      <c r="O42" s="268" t="str">
        <f>INDEX(ETAPP!B$1:B$32,MATCH(COUNTIF(V42:AE42,PVO!A$1),ETAPP!A$1:A$32,0))&amp;INDEX(ETAPP!B$1:B$32,MATCH(COUNTIF(V42:AE42,PVO!A$2),ETAPP!A$1:A$32,0))&amp;INDEX(ETAPP!B$1:B$32,MATCH(COUNTIF(V42:AE42,PVO!A$3),ETAPP!A$1:A$32,0))&amp;INDEX(ETAPP!B$1:B$32,MATCH(COUNTIF(V42:AE42,PVO!A$4),ETAPP!A$1:A$32,0))&amp;INDEX(ETAPP!B$1:B$32,MATCH(COUNTIF(V42:AE42,PVO!A$5),ETAPP!A$1:A$32,0))&amp;INDEX(ETAPP!B$1:B$32,MATCH(COUNTIF(V42:AE42,PVO!A$6),ETAPP!A$1:A$32,0))&amp;INDEX(ETAPP!B$1:B$32,MATCH(COUNTIF(V42:AE42,PVO!A$7),ETAPP!A$1:A$32,0))&amp;INDEX(ETAPP!B$1:B$32,MATCH(COUNTIF(V42:AE42,PVO!A$8),ETAPP!A$1:A$32,0))&amp;INDEX(ETAPP!B$1:B$32,MATCH(COUNTIF(V42:AE42,PVO!A$9),ETAPP!A$1:A$32,0))&amp;INDEX(ETAPP!B$1:B$32,MATCH(COUNTIF(V42:AE42,PVO!A$10),ETAPP!A$1:A$32,0))&amp;INDEX(ETAPP!B$1:B$32,MATCH(COUNTIF(V42:AE42,PVO!A$11),ETAPP!A$1:A$32,0))&amp;INDEX(ETAPP!B$1:B$32,MATCH(COUNTIF(V42:AE42,PVO!A$12),ETAPP!A$1:A$32,0))&amp;INDEX(ETAPP!B$1:B$32,MATCH(COUNTIF(V42:AE42,PVO!A$13),ETAPP!A$1:A$32,0))&amp;INDEX(ETAPP!B$1:B$32,MATCH(COUNTIF(V42:AE42,PVO!A$14),ETAPP!A$1:A$32,0))&amp;INDEX(ETAPP!B$1:B$32,MATCH(COUNTIF(V42:AE42,PVO!A$15),ETAPP!A$1:A$32,0))&amp;INDEX(ETAPP!B$1:B$32,MATCH(COUNTIF(V42:AE42,PVO!A$16),ETAPP!A$1:A$32,0))&amp;INDEX(ETAPP!B$1:B$32,MATCH(COUNTIF(V42:AE42,PVO!A$17),ETAPP!A$1:A$32,0))&amp;INDEX(ETAPP!B$1:B$32,MATCH(COUNTIF(V42:AE42,PVO!A$18),ETAPP!A$1:A$32,0))&amp;INDEX(ETAPP!B$1:B$32,MATCH(COUNTIF(V42:AE42,PVO!A$19),ETAPP!A$1:A$32,0))&amp;INDEX(ETAPP!B$1:B$32,MATCH(COUNTIF(V42:AE42,PVO!A$20),ETAPP!A$1:A$32,0))&amp;INDEX(ETAPP!B$1:B$32,MATCH(COUNTIF(V42:AE42,PVO!A$21),ETAPP!A$1:A$32,0))&amp;INDEX(ETAPP!B$1:B$32,MATCH(COUNTIF(V42:AE42,PVO!A$22),ETAPP!A$1:A$32,0))</f>
        <v>0000000000000000AB000D</v>
      </c>
      <c r="P42" s="268" t="str">
        <f t="shared" si="11"/>
        <v>022,5-0000000000000000AB000D</v>
      </c>
      <c r="Q42" s="268">
        <f>COUNTIF(P$7:P$66,"&gt;="&amp;P42)</f>
        <v>36</v>
      </c>
      <c r="R42" s="268">
        <f>COUNTIF(I$7:I$66,"&gt;="&amp;I42)</f>
        <v>52</v>
      </c>
      <c r="S42" s="268" t="str">
        <f t="shared" si="12"/>
        <v>022,5-0000000000000000AB000D-052</v>
      </c>
      <c r="T42" s="268">
        <f>COUNTIF(S$7:S$66,"&gt;="&amp;S42)</f>
        <v>36</v>
      </c>
      <c r="U42" s="832">
        <f>RANK(T42,T$7:T$66,0)</f>
        <v>25</v>
      </c>
      <c r="V42" s="210">
        <f>IFERROR(INDEX('V1'!C$300:C$400,MATCH("*"&amp;I42&amp;"*",'V1'!B$300:B$400,0)),"  ")</f>
        <v>3</v>
      </c>
      <c r="W42" s="210">
        <f>IFERROR(INDEX('V2'!C$300:C$400,MATCH("*"&amp;I42&amp;"*",'V2'!B$300:B$400,0)),"  ")</f>
        <v>5.5</v>
      </c>
      <c r="X42" s="210" t="str">
        <f>IFERROR(INDEX('V3'!C$300:C$400,MATCH("*"&amp;I42&amp;"*",'V3'!B$300:B$400,0)),"  ")</f>
        <v xml:space="preserve">  </v>
      </c>
      <c r="Y42" s="210">
        <f>IFERROR(INDEX('V4'!C$300:C$400,MATCH("*"&amp;I42&amp;"*",'V4'!B$300:B$400,0)),"  ")</f>
        <v>3</v>
      </c>
      <c r="Z42" s="210">
        <f>IFERROR(INDEX('V5'!C$300:C$400,MATCH("*"&amp;I42&amp;"*",'V5'!B$300:B$400,0)),"  ")</f>
        <v>4</v>
      </c>
      <c r="AA42" s="210">
        <f>IFERROR(INDEX('V6'!C$300:C$400,MATCH("*"&amp;I42&amp;"*",'V6'!B$300:B$400,0)),"  ")</f>
        <v>2.5</v>
      </c>
      <c r="AB42" s="210" t="str">
        <f>IFERROR(INDEX('V7'!C$300:C$400,MATCH("*"&amp;I42&amp;"*",'V7'!B$300:B$400,0)),"  ")</f>
        <v xml:space="preserve">  </v>
      </c>
      <c r="AC42" s="210">
        <f>IFERROR(INDEX('V8'!C$300:C$400,MATCH("*"&amp;I42&amp;"*",'V8'!B$300:B$400,0)),"  ")</f>
        <v>4.5</v>
      </c>
      <c r="AD42" s="210" t="str">
        <f>IFERROR(INDEX('V9'!C$300:C$400,MATCH("*"&amp;I42&amp;"*",'V9'!B$300:B$400,0)),"  ")</f>
        <v xml:space="preserve">  </v>
      </c>
      <c r="AE42" s="210" t="str">
        <f>IFERROR(INDEX('V10'!C$300:C$400,MATCH("*"&amp;I42&amp;"*",'V10'!B$300:B$400,0)),"  ")</f>
        <v xml:space="preserve">  </v>
      </c>
      <c r="AF42" s="211">
        <f t="shared" si="13"/>
        <v>1</v>
      </c>
      <c r="AG42" s="211">
        <f t="shared" si="8"/>
        <v>25</v>
      </c>
      <c r="AH42" s="1362" t="str">
        <f>IFERROR(IF(COUNTIF(V42:AE42,"&gt;0")&gt;=3,"edasi ","puudu "&amp;3-COUNT(V42:AE42))&amp;IF(OR(COUNTIF(V42:AE42,"&gt;0")&lt;3,COUNTIF(AE$7:AE$66,"&gt;0")=0),"",RANK(AG42,AG$7:AG$66,0)),"")</f>
        <v>edasi 33</v>
      </c>
      <c r="AI42" s="959" t="str">
        <f>IFERROR(INDEX('V-Fin'!A$300:A$325,MATCH(I42,'V-Fin'!B$300:B$325,0)),"")</f>
        <v/>
      </c>
      <c r="AJ42" s="214">
        <f t="shared" si="14"/>
        <v>6</v>
      </c>
      <c r="AK42" s="212">
        <f>IFERROR(IF(V42+1&gt;LARGE(V$7:V$66,1)-2,1),0)+IFERROR(IF(W42+1&gt;LARGE(W$7:W$66,1)-2,1),0)+IFERROR(IF(X42+1&gt;LARGE(X$7:X$66,1)-2,1),0)+IFERROR(IF(Y42+1&gt;LARGE(Y$7:Y$66,1)-2,1),0)+IFERROR(IF(Z42+1&gt;LARGE(Z$7:Z$66,1)-2,1),0)+IFERROR(IF(AA42+1&gt;LARGE(AA$7:AA$66,1)-2,1),0)+IFERROR(IF(AB42+1&gt;LARGE(AB$7:AB$66,1)-2,1),0)+IFERROR(IF(AC42+1&gt;LARGE(AC$7:AC$66,1)-2,1),0)+IFERROR(IF(AD42+1&gt;LARGE(AD$7:AD$66,1)-2,1),0)+IFERROR(IF(AE42+1&gt;LARGE(AE$7:AE$66,1)-2,1),0)</f>
        <v>0</v>
      </c>
      <c r="AL42" s="212">
        <f>IF(V42=0,0,IF(V42=IFERROR(LARGE(V$7:V$66,1),0),1,0))+IF(W42=0,0,IF(W42=IFERROR(LARGE(W$7:W$66,1),0),1,0))+IF(X42=0,0,IF(X42=IFERROR(LARGE(X$7:X$66,1),0),1,0))+IF(Y42=0,0,IF(Y42=IFERROR(LARGE(Y$7:Y$66,1),0),1,0))+IF(Z42=0,0,IF(Z42=IFERROR(LARGE(Z$7:Z$66,1),0),1,0))+IF(AA42=0,0,IF(AA42=IFERROR(LARGE(AA$7:AA$66,1),0),1,0))+IF(AB42=0,0,IF(AB42=IFERROR(LARGE(AB$7:AB$66,1),0),1,0))+IF(AC42=0,0,IF(AC42=IFERROR(LARGE(AC$7:AC$66,1),0),1,0))+IF(AD42=0,0,IF(AD42=IFERROR(LARGE(AD$7:AD$66,1),0),1,0))+IF(AE42=0,0,IF(AE42=IFERROR(LARGE(AE$7:AE$66,1),0),1,0))</f>
        <v>0</v>
      </c>
    </row>
    <row r="43" spans="1:38" x14ac:dyDescent="0.2">
      <c r="A43" s="1026" t="str">
        <f>IF(M43="k",RANK(B43,B$7:B$66,0),"")</f>
        <v/>
      </c>
      <c r="B43" s="266">
        <f t="shared" si="9"/>
        <v>0</v>
      </c>
      <c r="C43" s="944"/>
      <c r="D43" s="1029" t="str">
        <f>IF(J43="n",RANK(E43,E$7:E$66,0),"")</f>
        <v/>
      </c>
      <c r="E43" s="1028">
        <f t="shared" si="6"/>
        <v>0</v>
      </c>
      <c r="F43" s="1025" t="str">
        <f>IF(K43="j",RANK(G43,G$7:G$66,0),"")</f>
        <v/>
      </c>
      <c r="G43" s="266">
        <f t="shared" si="7"/>
        <v>0</v>
      </c>
      <c r="H43" s="209">
        <f>IF(N43&gt;0,RANK(Q43,Q$7:Q$66,1),"")</f>
        <v>37</v>
      </c>
      <c r="I43" s="267" t="s">
        <v>94</v>
      </c>
      <c r="J43" s="269"/>
      <c r="K43" s="270"/>
      <c r="L43" s="1381"/>
      <c r="M43" s="274"/>
      <c r="N43" s="1019">
        <f t="shared" si="10"/>
        <v>22</v>
      </c>
      <c r="O43" s="268" t="str">
        <f>INDEX(ETAPP!B$1:B$32,MATCH(COUNTIF(V43:AE43,PVO!A$1),ETAPP!A$1:A$32,0))&amp;INDEX(ETAPP!B$1:B$32,MATCH(COUNTIF(V43:AE43,PVO!A$2),ETAPP!A$1:A$32,0))&amp;INDEX(ETAPP!B$1:B$32,MATCH(COUNTIF(V43:AE43,PVO!A$3),ETAPP!A$1:A$32,0))&amp;INDEX(ETAPP!B$1:B$32,MATCH(COUNTIF(V43:AE43,PVO!A$4),ETAPP!A$1:A$32,0))&amp;INDEX(ETAPP!B$1:B$32,MATCH(COUNTIF(V43:AE43,PVO!A$5),ETAPP!A$1:A$32,0))&amp;INDEX(ETAPP!B$1:B$32,MATCH(COUNTIF(V43:AE43,PVO!A$6),ETAPP!A$1:A$32,0))&amp;INDEX(ETAPP!B$1:B$32,MATCH(COUNTIF(V43:AE43,PVO!A$7),ETAPP!A$1:A$32,0))&amp;INDEX(ETAPP!B$1:B$32,MATCH(COUNTIF(V43:AE43,PVO!A$8),ETAPP!A$1:A$32,0))&amp;INDEX(ETAPP!B$1:B$32,MATCH(COUNTIF(V43:AE43,PVO!A$9),ETAPP!A$1:A$32,0))&amp;INDEX(ETAPP!B$1:B$32,MATCH(COUNTIF(V43:AE43,PVO!A$10),ETAPP!A$1:A$32,0))&amp;INDEX(ETAPP!B$1:B$32,MATCH(COUNTIF(V43:AE43,PVO!A$11),ETAPP!A$1:A$32,0))&amp;INDEX(ETAPP!B$1:B$32,MATCH(COUNTIF(V43:AE43,PVO!A$12),ETAPP!A$1:A$32,0))&amp;INDEX(ETAPP!B$1:B$32,MATCH(COUNTIF(V43:AE43,PVO!A$13),ETAPP!A$1:A$32,0))&amp;INDEX(ETAPP!B$1:B$32,MATCH(COUNTIF(V43:AE43,PVO!A$14),ETAPP!A$1:A$32,0))&amp;INDEX(ETAPP!B$1:B$32,MATCH(COUNTIF(V43:AE43,PVO!A$15),ETAPP!A$1:A$32,0))&amp;INDEX(ETAPP!B$1:B$32,MATCH(COUNTIF(V43:AE43,PVO!A$16),ETAPP!A$1:A$32,0))&amp;INDEX(ETAPP!B$1:B$32,MATCH(COUNTIF(V43:AE43,PVO!A$17),ETAPP!A$1:A$32,0))&amp;INDEX(ETAPP!B$1:B$32,MATCH(COUNTIF(V43:AE43,PVO!A$18),ETAPP!A$1:A$32,0))&amp;INDEX(ETAPP!B$1:B$32,MATCH(COUNTIF(V43:AE43,PVO!A$19),ETAPP!A$1:A$32,0))&amp;INDEX(ETAPP!B$1:B$32,MATCH(COUNTIF(V43:AE43,PVO!A$20),ETAPP!A$1:A$32,0))&amp;INDEX(ETAPP!B$1:B$32,MATCH(COUNTIF(V43:AE43,PVO!A$21),ETAPP!A$1:A$32,0))&amp;INDEX(ETAPP!B$1:B$32,MATCH(COUNTIF(V43:AE43,PVO!A$22),ETAPP!A$1:A$32,0))</f>
        <v>00000000A00A0000000A0G</v>
      </c>
      <c r="P43" s="268" t="str">
        <f t="shared" si="11"/>
        <v>022,0-00000000A00A0000000A0G</v>
      </c>
      <c r="Q43" s="268">
        <f>COUNTIF(P$7:P$66,"&gt;="&amp;P43)</f>
        <v>37</v>
      </c>
      <c r="R43" s="268">
        <f>COUNTIF(I$7:I$66,"&gt;="&amp;I43)</f>
        <v>60</v>
      </c>
      <c r="S43" s="268" t="str">
        <f t="shared" si="12"/>
        <v>022,0-00000000A00A0000000A0G-060</v>
      </c>
      <c r="T43" s="268">
        <f>COUNTIF(S$7:S$66,"&gt;="&amp;S43)</f>
        <v>37</v>
      </c>
      <c r="U43" s="832">
        <f>RANK(T43,T$7:T$66,0)</f>
        <v>24</v>
      </c>
      <c r="V43" s="210" t="str">
        <f>IFERROR(INDEX('V1'!C$300:C$400,MATCH("*"&amp;I43&amp;"*",'V1'!B$300:B$400,0)),"  ")</f>
        <v xml:space="preserve">  </v>
      </c>
      <c r="W43" s="210" t="str">
        <f>IFERROR(INDEX('V2'!C$300:C$400,MATCH("*"&amp;I43&amp;"*",'V2'!B$300:B$400,0)),"  ")</f>
        <v xml:space="preserve">  </v>
      </c>
      <c r="X43" s="210" t="str">
        <f>IFERROR(INDEX('V3'!C$300:C$400,MATCH("*"&amp;I43&amp;"*",'V3'!B$300:B$400,0)),"  ")</f>
        <v xml:space="preserve">  </v>
      </c>
      <c r="Y43" s="210" t="str">
        <f>IFERROR(INDEX('V4'!C$300:C$400,MATCH("*"&amp;I43&amp;"*",'V4'!B$300:B$400,0)),"  ")</f>
        <v xml:space="preserve">  </v>
      </c>
      <c r="Z43" s="210">
        <f>IFERROR(INDEX('V5'!C$300:C$400,MATCH("*"&amp;I43&amp;"*",'V5'!B$300:B$400,0)),"  ")</f>
        <v>1</v>
      </c>
      <c r="AA43" s="210" t="str">
        <f>IFERROR(INDEX('V6'!C$300:C$400,MATCH("*"&amp;I43&amp;"*",'V6'!B$300:B$400,0)),"  ")</f>
        <v xml:space="preserve">  </v>
      </c>
      <c r="AB43" s="210" t="str">
        <f>IFERROR(INDEX('V7'!C$300:C$400,MATCH("*"&amp;I43&amp;"*",'V7'!B$300:B$400,0)),"  ")</f>
        <v xml:space="preserve">  </v>
      </c>
      <c r="AC43" s="210">
        <f>IFERROR(INDEX('V8'!C$300:C$400,MATCH("*"&amp;I43&amp;"*",'V8'!B$300:B$400,0)),"  ")</f>
        <v>9</v>
      </c>
      <c r="AD43" s="210">
        <f>IFERROR(INDEX('V9'!C$300:C$400,MATCH("*"&amp;I43&amp;"*",'V9'!B$300:B$400,0)),"  ")</f>
        <v>12</v>
      </c>
      <c r="AE43" s="210" t="str">
        <f>IFERROR(INDEX('V10'!C$300:C$400,MATCH("*"&amp;I43&amp;"*",'V10'!B$300:B$400,0)),"  ")</f>
        <v xml:space="preserve">  </v>
      </c>
      <c r="AF43" s="211">
        <f t="shared" si="13"/>
        <v>1</v>
      </c>
      <c r="AG43" s="211">
        <f t="shared" si="8"/>
        <v>24</v>
      </c>
      <c r="AH43" s="1362" t="str">
        <f>IFERROR(IF(COUNTIF(V43:AE43,"&gt;0")&gt;=3,"edasi ","puudu "&amp;3-COUNT(V43:AE43))&amp;IF(OR(COUNTIF(V43:AE43,"&gt;0")&lt;3,COUNTIF(AE$7:AE$66,"&gt;0")=0),"",RANK(AG43,AG$7:AG$66,0)),"")</f>
        <v>edasi 34</v>
      </c>
      <c r="AI43" s="962">
        <f>IFERROR(INDEX('V-Fin'!A$300:A$325,MATCH(I43,'V-Fin'!B$300:B$325,0)),"")</f>
        <v>3</v>
      </c>
      <c r="AJ43" s="214">
        <f t="shared" si="14"/>
        <v>3</v>
      </c>
      <c r="AK43" s="212">
        <f>IFERROR(IF(V43+1&gt;LARGE(V$7:V$66,1)-2,1),0)+IFERROR(IF(W43+1&gt;LARGE(W$7:W$66,1)-2,1),0)+IFERROR(IF(X43+1&gt;LARGE(X$7:X$66,1)-2,1),0)+IFERROR(IF(Y43+1&gt;LARGE(Y$7:Y$66,1)-2,1),0)+IFERROR(IF(Z43+1&gt;LARGE(Z$7:Z$66,1)-2,1),0)+IFERROR(IF(AA43+1&gt;LARGE(AA$7:AA$66,1)-2,1),0)+IFERROR(IF(AB43+1&gt;LARGE(AB$7:AB$66,1)-2,1),0)+IFERROR(IF(AC43+1&gt;LARGE(AC$7:AC$66,1)-2,1),0)+IFERROR(IF(AD43+1&gt;LARGE(AD$7:AD$66,1)-2,1),0)+IFERROR(IF(AE43+1&gt;LARGE(AE$7:AE$66,1)-2,1),0)</f>
        <v>1</v>
      </c>
      <c r="AL43" s="212">
        <f>IF(V43=0,0,IF(V43=IFERROR(LARGE(V$7:V$66,1),0),1,0))+IF(W43=0,0,IF(W43=IFERROR(LARGE(W$7:W$66,1),0),1,0))+IF(X43=0,0,IF(X43=IFERROR(LARGE(X$7:X$66,1),0),1,0))+IF(Y43=0,0,IF(Y43=IFERROR(LARGE(Y$7:Y$66,1),0),1,0))+IF(Z43=0,0,IF(Z43=IFERROR(LARGE(Z$7:Z$66,1),0),1,0))+IF(AA43=0,0,IF(AA43=IFERROR(LARGE(AA$7:AA$66,1),0),1,0))+IF(AB43=0,0,IF(AB43=IFERROR(LARGE(AB$7:AB$66,1),0),1,0))+IF(AC43=0,0,IF(AC43=IFERROR(LARGE(AC$7:AC$66,1),0),1,0))+IF(AD43=0,0,IF(AD43=IFERROR(LARGE(AD$7:AD$66,1),0),1,0))+IF(AE43=0,0,IF(AE43=IFERROR(LARGE(AE$7:AE$66,1),0),1,0))</f>
        <v>0</v>
      </c>
    </row>
    <row r="44" spans="1:38" x14ac:dyDescent="0.2">
      <c r="A44" s="1026" t="str">
        <f>IF(M44="k",RANK(B44,B$7:B$66,0),"")</f>
        <v/>
      </c>
      <c r="B44" s="266">
        <f t="shared" si="9"/>
        <v>0</v>
      </c>
      <c r="C44" s="944"/>
      <c r="D44" s="1029" t="str">
        <f>IF(J44="n",RANK(E44,E$7:E$66,0),"")</f>
        <v/>
      </c>
      <c r="E44" s="1028">
        <f t="shared" si="6"/>
        <v>0</v>
      </c>
      <c r="F44" s="1025" t="str">
        <f>IF(K44="j",RANK(G44,G$7:G$66,0),"")</f>
        <v/>
      </c>
      <c r="G44" s="266">
        <f t="shared" si="7"/>
        <v>0</v>
      </c>
      <c r="H44" s="209">
        <f>IF(N44&gt;0,RANK(Q44,Q$7:Q$66,1),"")</f>
        <v>38</v>
      </c>
      <c r="I44" s="213" t="s">
        <v>105</v>
      </c>
      <c r="J44" s="269"/>
      <c r="K44" s="270"/>
      <c r="L44" s="1382" t="s">
        <v>647</v>
      </c>
      <c r="M44" s="274"/>
      <c r="N44" s="1019">
        <f t="shared" si="10"/>
        <v>22</v>
      </c>
      <c r="O44" s="268" t="str">
        <f>INDEX(ETAPP!B$1:B$32,MATCH(COUNTIF(V44:AE44,PVO!A$1),ETAPP!A$1:A$32,0))&amp;INDEX(ETAPP!B$1:B$32,MATCH(COUNTIF(V44:AE44,PVO!A$2),ETAPP!A$1:A$32,0))&amp;INDEX(ETAPP!B$1:B$32,MATCH(COUNTIF(V44:AE44,PVO!A$3),ETAPP!A$1:A$32,0))&amp;INDEX(ETAPP!B$1:B$32,MATCH(COUNTIF(V44:AE44,PVO!A$4),ETAPP!A$1:A$32,0))&amp;INDEX(ETAPP!B$1:B$32,MATCH(COUNTIF(V44:AE44,PVO!A$5),ETAPP!A$1:A$32,0))&amp;INDEX(ETAPP!B$1:B$32,MATCH(COUNTIF(V44:AE44,PVO!A$6),ETAPP!A$1:A$32,0))&amp;INDEX(ETAPP!B$1:B$32,MATCH(COUNTIF(V44:AE44,PVO!A$7),ETAPP!A$1:A$32,0))&amp;INDEX(ETAPP!B$1:B$32,MATCH(COUNTIF(V44:AE44,PVO!A$8),ETAPP!A$1:A$32,0))&amp;INDEX(ETAPP!B$1:B$32,MATCH(COUNTIF(V44:AE44,PVO!A$9),ETAPP!A$1:A$32,0))&amp;INDEX(ETAPP!B$1:B$32,MATCH(COUNTIF(V44:AE44,PVO!A$10),ETAPP!A$1:A$32,0))&amp;INDEX(ETAPP!B$1:B$32,MATCH(COUNTIF(V44:AE44,PVO!A$11),ETAPP!A$1:A$32,0))&amp;INDEX(ETAPP!B$1:B$32,MATCH(COUNTIF(V44:AE44,PVO!A$12),ETAPP!A$1:A$32,0))&amp;INDEX(ETAPP!B$1:B$32,MATCH(COUNTIF(V44:AE44,PVO!A$13),ETAPP!A$1:A$32,0))&amp;INDEX(ETAPP!B$1:B$32,MATCH(COUNTIF(V44:AE44,PVO!A$14),ETAPP!A$1:A$32,0))&amp;INDEX(ETAPP!B$1:B$32,MATCH(COUNTIF(V44:AE44,PVO!A$15),ETAPP!A$1:A$32,0))&amp;INDEX(ETAPP!B$1:B$32,MATCH(COUNTIF(V44:AE44,PVO!A$16),ETAPP!A$1:A$32,0))&amp;INDEX(ETAPP!B$1:B$32,MATCH(COUNTIF(V44:AE44,PVO!A$17),ETAPP!A$1:A$32,0))&amp;INDEX(ETAPP!B$1:B$32,MATCH(COUNTIF(V44:AE44,PVO!A$18),ETAPP!A$1:A$32,0))&amp;INDEX(ETAPP!B$1:B$32,MATCH(COUNTIF(V44:AE44,PVO!A$19),ETAPP!A$1:A$32,0))&amp;INDEX(ETAPP!B$1:B$32,MATCH(COUNTIF(V44:AE44,PVO!A$20),ETAPP!A$1:A$32,0))&amp;INDEX(ETAPP!B$1:B$32,MATCH(COUNTIF(V44:AE44,PVO!A$21),ETAPP!A$1:A$32,0))&amp;INDEX(ETAPP!B$1:B$32,MATCH(COUNTIF(V44:AE44,PVO!A$22),ETAPP!A$1:A$32,0))</f>
        <v>000000000000AB0000000G</v>
      </c>
      <c r="P44" s="268" t="str">
        <f t="shared" si="11"/>
        <v>022,0-000000000000AB0000000G</v>
      </c>
      <c r="Q44" s="268">
        <f>COUNTIF(P$7:P$66,"&gt;="&amp;P44)</f>
        <v>38</v>
      </c>
      <c r="R44" s="268">
        <f>COUNTIF(I$7:I$66,"&gt;="&amp;I44)</f>
        <v>1</v>
      </c>
      <c r="S44" s="268" t="str">
        <f t="shared" si="12"/>
        <v>022,0-000000000000AB0000000G-001</v>
      </c>
      <c r="T44" s="268">
        <f>COUNTIF(S$7:S$66,"&gt;="&amp;S44)</f>
        <v>38</v>
      </c>
      <c r="U44" s="832">
        <f>RANK(T44,T$7:T$66,0)</f>
        <v>23</v>
      </c>
      <c r="V44" s="210">
        <f>IFERROR(INDEX('V1'!C$300:C$400,MATCH("*"&amp;I44&amp;"*",'V1'!B$300:B$400,0)),"  ")</f>
        <v>7</v>
      </c>
      <c r="W44" s="210" t="str">
        <f>IFERROR(INDEX('V2'!C$300:C$400,MATCH("*"&amp;I44&amp;"*",'V2'!B$300:B$400,0)),"  ")</f>
        <v xml:space="preserve">  </v>
      </c>
      <c r="X44" s="210" t="str">
        <f>IFERROR(INDEX('V3'!C$300:C$400,MATCH("*"&amp;I44&amp;"*",'V3'!B$300:B$400,0)),"  ")</f>
        <v xml:space="preserve">  </v>
      </c>
      <c r="Y44" s="210" t="str">
        <f>IFERROR(INDEX('V4'!C$300:C$400,MATCH("*"&amp;I44&amp;"*",'V4'!B$300:B$400,0)),"  ")</f>
        <v xml:space="preserve">  </v>
      </c>
      <c r="Z44" s="210" t="str">
        <f>IFERROR(INDEX('V5'!C$300:C$400,MATCH("*"&amp;I44&amp;"*",'V5'!B$300:B$400,0)),"  ")</f>
        <v xml:space="preserve">  </v>
      </c>
      <c r="AA44" s="210" t="str">
        <f>IFERROR(INDEX('V6'!C$300:C$400,MATCH("*"&amp;I44&amp;"*",'V6'!B$300:B$400,0)),"  ")</f>
        <v xml:space="preserve">  </v>
      </c>
      <c r="AB44" s="210" t="str">
        <f>IFERROR(INDEX('V7'!C$300:C$400,MATCH("*"&amp;I44&amp;"*",'V7'!B$300:B$400,0)),"  ")</f>
        <v xml:space="preserve">  </v>
      </c>
      <c r="AC44" s="210">
        <f>IFERROR(INDEX('V8'!C$300:C$400,MATCH("*"&amp;I44&amp;"*",'V8'!B$300:B$400,0)),"  ")</f>
        <v>7</v>
      </c>
      <c r="AD44" s="210" t="str">
        <f>IFERROR(INDEX('V9'!C$300:C$400,MATCH("*"&amp;I44&amp;"*",'V9'!B$300:B$400,0)),"  ")</f>
        <v xml:space="preserve">  </v>
      </c>
      <c r="AE44" s="210">
        <f>IFERROR(INDEX('V10'!C$300:C$400,MATCH("*"&amp;I44&amp;"*",'V10'!B$300:B$400,0)),"  ")</f>
        <v>8</v>
      </c>
      <c r="AF44" s="211">
        <f t="shared" si="13"/>
        <v>1</v>
      </c>
      <c r="AG44" s="211">
        <f t="shared" si="8"/>
        <v>23</v>
      </c>
      <c r="AH44" s="1362" t="str">
        <f>IFERROR(IF(COUNTIF(V44:AE44,"&gt;0")&gt;=3,"edasi ","puudu "&amp;3-COUNT(V44:AE44))&amp;IF(OR(COUNTIF(V44:AE44,"&gt;0")&lt;3,COUNTIF(AE$7:AE$66,"&gt;0")=0),"",RANK(AG44,AG$7:AG$66,0)),"")</f>
        <v>edasi 35</v>
      </c>
      <c r="AI44" s="959">
        <f>IFERROR(INDEX('V-Fin'!A$300:A$325,MATCH(I44,'V-Fin'!B$300:B$325,0)),"")</f>
        <v>13</v>
      </c>
      <c r="AJ44" s="214">
        <f t="shared" si="14"/>
        <v>3</v>
      </c>
      <c r="AK44" s="212">
        <f>IFERROR(IF(V44+1&gt;LARGE(V$7:V$66,1)-2,1),0)+IFERROR(IF(W44+1&gt;LARGE(W$7:W$66,1)-2,1),0)+IFERROR(IF(X44+1&gt;LARGE(X$7:X$66,1)-2,1),0)+IFERROR(IF(Y44+1&gt;LARGE(Y$7:Y$66,1)-2,1),0)+IFERROR(IF(Z44+1&gt;LARGE(Z$7:Z$66,1)-2,1),0)+IFERROR(IF(AA44+1&gt;LARGE(AA$7:AA$66,1)-2,1),0)+IFERROR(IF(AB44+1&gt;LARGE(AB$7:AB$66,1)-2,1),0)+IFERROR(IF(AC44+1&gt;LARGE(AC$7:AC$66,1)-2,1),0)+IFERROR(IF(AD44+1&gt;LARGE(AD$7:AD$66,1)-2,1),0)+IFERROR(IF(AE44+1&gt;LARGE(AE$7:AE$66,1)-2,1),0)</f>
        <v>0</v>
      </c>
      <c r="AL44" s="212">
        <f>IF(V44=0,0,IF(V44=IFERROR(LARGE(V$7:V$66,1),0),1,0))+IF(W44=0,0,IF(W44=IFERROR(LARGE(W$7:W$66,1),0),1,0))+IF(X44=0,0,IF(X44=IFERROR(LARGE(X$7:X$66,1),0),1,0))+IF(Y44=0,0,IF(Y44=IFERROR(LARGE(Y$7:Y$66,1),0),1,0))+IF(Z44=0,0,IF(Z44=IFERROR(LARGE(Z$7:Z$66,1),0),1,0))+IF(AA44=0,0,IF(AA44=IFERROR(LARGE(AA$7:AA$66,1),0),1,0))+IF(AB44=0,0,IF(AB44=IFERROR(LARGE(AB$7:AB$66,1),0),1,0))+IF(AC44=0,0,IF(AC44=IFERROR(LARGE(AC$7:AC$66,1),0),1,0))+IF(AD44=0,0,IF(AD44=IFERROR(LARGE(AD$7:AD$66,1),0),1,0))+IF(AE44=0,0,IF(AE44=IFERROR(LARGE(AE$7:AE$66,1),0),1,0))</f>
        <v>0</v>
      </c>
    </row>
    <row r="45" spans="1:38" x14ac:dyDescent="0.2">
      <c r="A45" s="1026">
        <f>IF(M45="k",RANK(B45,B$7:B$66,0),"")</f>
        <v>17</v>
      </c>
      <c r="B45" s="266">
        <f t="shared" si="9"/>
        <v>10020</v>
      </c>
      <c r="C45" s="944"/>
      <c r="D45" s="1029">
        <f>IF(J45="n",RANK(E45,E$7:E$66,0),"")</f>
        <v>6</v>
      </c>
      <c r="E45" s="1028">
        <f t="shared" si="6"/>
        <v>10020</v>
      </c>
      <c r="F45" s="1025" t="str">
        <f>IF(K45="j",RANK(G45,G$7:G$66,0),"")</f>
        <v/>
      </c>
      <c r="G45" s="266">
        <f t="shared" si="7"/>
        <v>0</v>
      </c>
      <c r="H45" s="209">
        <f>IF(N45&gt;0,RANK(Q45,Q$7:Q$66,1),"")</f>
        <v>39</v>
      </c>
      <c r="I45" s="267" t="s">
        <v>130</v>
      </c>
      <c r="J45" s="269" t="s">
        <v>137</v>
      </c>
      <c r="K45" s="270"/>
      <c r="L45" s="1381"/>
      <c r="M45" s="274" t="s">
        <v>187</v>
      </c>
      <c r="N45" s="1019">
        <f t="shared" si="10"/>
        <v>20</v>
      </c>
      <c r="O45" s="268" t="str">
        <f>INDEX(ETAPP!B$1:B$32,MATCH(COUNTIF(V45:AE45,PVO!A$1),ETAPP!A$1:A$32,0))&amp;INDEX(ETAPP!B$1:B$32,MATCH(COUNTIF(V45:AE45,PVO!A$2),ETAPP!A$1:A$32,0))&amp;INDEX(ETAPP!B$1:B$32,MATCH(COUNTIF(V45:AE45,PVO!A$3),ETAPP!A$1:A$32,0))&amp;INDEX(ETAPP!B$1:B$32,MATCH(COUNTIF(V45:AE45,PVO!A$4),ETAPP!A$1:A$32,0))&amp;INDEX(ETAPP!B$1:B$32,MATCH(COUNTIF(V45:AE45,PVO!A$5),ETAPP!A$1:A$32,0))&amp;INDEX(ETAPP!B$1:B$32,MATCH(COUNTIF(V45:AE45,PVO!A$6),ETAPP!A$1:A$32,0))&amp;INDEX(ETAPP!B$1:B$32,MATCH(COUNTIF(V45:AE45,PVO!A$7),ETAPP!A$1:A$32,0))&amp;INDEX(ETAPP!B$1:B$32,MATCH(COUNTIF(V45:AE45,PVO!A$8),ETAPP!A$1:A$32,0))&amp;INDEX(ETAPP!B$1:B$32,MATCH(COUNTIF(V45:AE45,PVO!A$9),ETAPP!A$1:A$32,0))&amp;INDEX(ETAPP!B$1:B$32,MATCH(COUNTIF(V45:AE45,PVO!A$10),ETAPP!A$1:A$32,0))&amp;INDEX(ETAPP!B$1:B$32,MATCH(COUNTIF(V45:AE45,PVO!A$11),ETAPP!A$1:A$32,0))&amp;INDEX(ETAPP!B$1:B$32,MATCH(COUNTIF(V45:AE45,PVO!A$12),ETAPP!A$1:A$32,0))&amp;INDEX(ETAPP!B$1:B$32,MATCH(COUNTIF(V45:AE45,PVO!A$13),ETAPP!A$1:A$32,0))&amp;INDEX(ETAPP!B$1:B$32,MATCH(COUNTIF(V45:AE45,PVO!A$14),ETAPP!A$1:A$32,0))&amp;INDEX(ETAPP!B$1:B$32,MATCH(COUNTIF(V45:AE45,PVO!A$15),ETAPP!A$1:A$32,0))&amp;INDEX(ETAPP!B$1:B$32,MATCH(COUNTIF(V45:AE45,PVO!A$16),ETAPP!A$1:A$32,0))&amp;INDEX(ETAPP!B$1:B$32,MATCH(COUNTIF(V45:AE45,PVO!A$17),ETAPP!A$1:A$32,0))&amp;INDEX(ETAPP!B$1:B$32,MATCH(COUNTIF(V45:AE45,PVO!A$18),ETAPP!A$1:A$32,0))&amp;INDEX(ETAPP!B$1:B$32,MATCH(COUNTIF(V45:AE45,PVO!A$19),ETAPP!A$1:A$32,0))&amp;INDEX(ETAPP!B$1:B$32,MATCH(COUNTIF(V45:AE45,PVO!A$20),ETAPP!A$1:A$32,0))&amp;INDEX(ETAPP!B$1:B$32,MATCH(COUNTIF(V45:AE45,PVO!A$21),ETAPP!A$1:A$32,0))&amp;INDEX(ETAPP!B$1:B$32,MATCH(COUNTIF(V45:AE45,PVO!A$22),ETAPP!A$1:A$32,0))</f>
        <v>0000000000A0000A0AA00F</v>
      </c>
      <c r="P45" s="268" t="str">
        <f t="shared" si="11"/>
        <v>020,0-0000000000A0000A0AA00F</v>
      </c>
      <c r="Q45" s="268">
        <f>COUNTIF(P$7:P$66,"&gt;="&amp;P45)</f>
        <v>39</v>
      </c>
      <c r="R45" s="268">
        <f>COUNTIF(I$7:I$66,"&gt;="&amp;I45)</f>
        <v>24</v>
      </c>
      <c r="S45" s="268" t="str">
        <f t="shared" si="12"/>
        <v>020,0-0000000000A0000A0AA00F-024</v>
      </c>
      <c r="T45" s="268">
        <f>COUNTIF(S$7:S$66,"&gt;="&amp;S45)</f>
        <v>39</v>
      </c>
      <c r="U45" s="832">
        <f>RANK(T45,T$7:T$66,0)</f>
        <v>22</v>
      </c>
      <c r="V45" s="210" t="str">
        <f>IFERROR(INDEX('V1'!C$300:C$400,MATCH("*"&amp;I45&amp;"*",'V1'!B$300:B$400,0)),"  ")</f>
        <v xml:space="preserve">  </v>
      </c>
      <c r="W45" s="210" t="str">
        <f>IFERROR(INDEX('V2'!C$300:C$400,MATCH("*"&amp;I45&amp;"*",'V2'!B$300:B$400,0)),"  ")</f>
        <v xml:space="preserve">  </v>
      </c>
      <c r="X45" s="210" t="str">
        <f>IFERROR(INDEX('V3'!C$300:C$400,MATCH("*"&amp;I45&amp;"*",'V3'!B$300:B$400,0)),"  ")</f>
        <v xml:space="preserve">  </v>
      </c>
      <c r="Y45" s="210">
        <f>IFERROR(INDEX('V4'!C$300:C$400,MATCH("*"&amp;I45&amp;"*",'V4'!B$300:B$400,0)),"  ")</f>
        <v>10</v>
      </c>
      <c r="Z45" s="210">
        <f>IFERROR(INDEX('V5'!C$300:C$400,MATCH("*"&amp;I45&amp;"*",'V5'!B$300:B$400,0)),"  ")</f>
        <v>2</v>
      </c>
      <c r="AA45" s="210" t="str">
        <f>IFERROR(INDEX('V6'!C$300:C$400,MATCH("*"&amp;I45&amp;"*",'V6'!B$300:B$400,0)),"  ")</f>
        <v xml:space="preserve">  </v>
      </c>
      <c r="AB45" s="210" t="str">
        <f>IFERROR(INDEX('V7'!C$300:C$400,MATCH("*"&amp;I45&amp;"*",'V7'!B$300:B$400,0)),"  ")</f>
        <v xml:space="preserve">  </v>
      </c>
      <c r="AC45" s="210" t="str">
        <f>IFERROR(INDEX('V8'!C$300:C$400,MATCH("*"&amp;I45&amp;"*",'V8'!B$300:B$400,0)),"  ")</f>
        <v xml:space="preserve">  </v>
      </c>
      <c r="AD45" s="210">
        <f>IFERROR(INDEX('V9'!C$300:C$400,MATCH("*"&amp;I45&amp;"*",'V9'!B$300:B$400,0)),"  ")</f>
        <v>3</v>
      </c>
      <c r="AE45" s="210">
        <f>IFERROR(INDEX('V10'!C$300:C$400,MATCH("*"&amp;I45&amp;"*",'V10'!B$300:B$400,0)),"  ")</f>
        <v>5</v>
      </c>
      <c r="AF45" s="211">
        <f t="shared" si="13"/>
        <v>1</v>
      </c>
      <c r="AG45" s="211">
        <f t="shared" si="8"/>
        <v>22</v>
      </c>
      <c r="AH45" s="1362" t="str">
        <f>IFERROR(IF(COUNTIF(V45:AE45,"&gt;0")&gt;=3,"edasi ","puudu "&amp;3-COUNT(V45:AE45))&amp;IF(OR(COUNTIF(V45:AE45,"&gt;0")&lt;3,COUNTIF(AE$7:AE$66,"&gt;0")=0),"",RANK(AG45,AG$7:AG$66,0)),"")</f>
        <v>edasi 36</v>
      </c>
      <c r="AI45" s="959">
        <f>IFERROR(INDEX('V-Fin'!A$300:A$325,MATCH(I45,'V-Fin'!B$300:B$325,0)),"")</f>
        <v>19</v>
      </c>
      <c r="AJ45" s="214">
        <f t="shared" si="14"/>
        <v>4</v>
      </c>
      <c r="AK45" s="212">
        <f>IFERROR(IF(V45+1&gt;LARGE(V$7:V$66,1)-2,1),0)+IFERROR(IF(W45+1&gt;LARGE(W$7:W$66,1)-2,1),0)+IFERROR(IF(X45+1&gt;LARGE(X$7:X$66,1)-2,1),0)+IFERROR(IF(Y45+1&gt;LARGE(Y$7:Y$66,1)-2,1),0)+IFERROR(IF(Z45+1&gt;LARGE(Z$7:Z$66,1)-2,1),0)+IFERROR(IF(AA45+1&gt;LARGE(AA$7:AA$66,1)-2,1),0)+IFERROR(IF(AB45+1&gt;LARGE(AB$7:AB$66,1)-2,1),0)+IFERROR(IF(AC45+1&gt;LARGE(AC$7:AC$66,1)-2,1),0)+IFERROR(IF(AD45+1&gt;LARGE(AD$7:AD$66,1)-2,1),0)+IFERROR(IF(AE45+1&gt;LARGE(AE$7:AE$66,1)-2,1),0)</f>
        <v>0</v>
      </c>
      <c r="AL45" s="212">
        <f>IF(V45=0,0,IF(V45=IFERROR(LARGE(V$7:V$66,1),0),1,0))+IF(W45=0,0,IF(W45=IFERROR(LARGE(W$7:W$66,1),0),1,0))+IF(X45=0,0,IF(X45=IFERROR(LARGE(X$7:X$66,1),0),1,0))+IF(Y45=0,0,IF(Y45=IFERROR(LARGE(Y$7:Y$66,1),0),1,0))+IF(Z45=0,0,IF(Z45=IFERROR(LARGE(Z$7:Z$66,1),0),1,0))+IF(AA45=0,0,IF(AA45=IFERROR(LARGE(AA$7:AA$66,1),0),1,0))+IF(AB45=0,0,IF(AB45=IFERROR(LARGE(AB$7:AB$66,1),0),1,0))+IF(AC45=0,0,IF(AC45=IFERROR(LARGE(AC$7:AC$66,1),0),1,0))+IF(AD45=0,0,IF(AD45=IFERROR(LARGE(AD$7:AD$66,1),0),1,0))+IF(AE45=0,0,IF(AE45=IFERROR(LARGE(AE$7:AE$66,1),0),1,0))</f>
        <v>0</v>
      </c>
    </row>
    <row r="46" spans="1:38" x14ac:dyDescent="0.2">
      <c r="A46" s="1026" t="str">
        <f>IF(M46="k",RANK(B46,B$7:B$66,0),"")</f>
        <v/>
      </c>
      <c r="B46" s="266">
        <f t="shared" si="9"/>
        <v>0</v>
      </c>
      <c r="C46" s="944"/>
      <c r="D46" s="1029">
        <f>IF(J46="n",RANK(E46,E$7:E$66,0),"")</f>
        <v>7</v>
      </c>
      <c r="E46" s="1028">
        <f t="shared" si="6"/>
        <v>10015.5</v>
      </c>
      <c r="F46" s="1025" t="str">
        <f>IF(K46="j",RANK(G46,G$7:G$66,0),"")</f>
        <v/>
      </c>
      <c r="G46" s="266">
        <f t="shared" si="7"/>
        <v>0</v>
      </c>
      <c r="H46" s="209">
        <f>IF(N46&gt;0,RANK(Q46,Q$7:Q$66,1),"")</f>
        <v>40</v>
      </c>
      <c r="I46" s="213" t="s">
        <v>185</v>
      </c>
      <c r="J46" s="269" t="s">
        <v>137</v>
      </c>
      <c r="K46" s="270"/>
      <c r="L46" s="1381"/>
      <c r="M46" s="274"/>
      <c r="N46" s="1019">
        <f t="shared" si="10"/>
        <v>15.5</v>
      </c>
      <c r="O46" s="268" t="str">
        <f>INDEX(ETAPP!B$1:B$32,MATCH(COUNTIF(V46:AE46,PVO!A$1),ETAPP!A$1:A$32,0))&amp;INDEX(ETAPP!B$1:B$32,MATCH(COUNTIF(V46:AE46,PVO!A$2),ETAPP!A$1:A$32,0))&amp;INDEX(ETAPP!B$1:B$32,MATCH(COUNTIF(V46:AE46,PVO!A$3),ETAPP!A$1:A$32,0))&amp;INDEX(ETAPP!B$1:B$32,MATCH(COUNTIF(V46:AE46,PVO!A$4),ETAPP!A$1:A$32,0))&amp;INDEX(ETAPP!B$1:B$32,MATCH(COUNTIF(V46:AE46,PVO!A$5),ETAPP!A$1:A$32,0))&amp;INDEX(ETAPP!B$1:B$32,MATCH(COUNTIF(V46:AE46,PVO!A$6),ETAPP!A$1:A$32,0))&amp;INDEX(ETAPP!B$1:B$32,MATCH(COUNTIF(V46:AE46,PVO!A$7),ETAPP!A$1:A$32,0))&amp;INDEX(ETAPP!B$1:B$32,MATCH(COUNTIF(V46:AE46,PVO!A$8),ETAPP!A$1:A$32,0))&amp;INDEX(ETAPP!B$1:B$32,MATCH(COUNTIF(V46:AE46,PVO!A$9),ETAPP!A$1:A$32,0))&amp;INDEX(ETAPP!B$1:B$32,MATCH(COUNTIF(V46:AE46,PVO!A$10),ETAPP!A$1:A$32,0))&amp;INDEX(ETAPP!B$1:B$32,MATCH(COUNTIF(V46:AE46,PVO!A$11),ETAPP!A$1:A$32,0))&amp;INDEX(ETAPP!B$1:B$32,MATCH(COUNTIF(V46:AE46,PVO!A$12),ETAPP!A$1:A$32,0))&amp;INDEX(ETAPP!B$1:B$32,MATCH(COUNTIF(V46:AE46,PVO!A$13),ETAPP!A$1:A$32,0))&amp;INDEX(ETAPP!B$1:B$32,MATCH(COUNTIF(V46:AE46,PVO!A$14),ETAPP!A$1:A$32,0))&amp;INDEX(ETAPP!B$1:B$32,MATCH(COUNTIF(V46:AE46,PVO!A$15),ETAPP!A$1:A$32,0))&amp;INDEX(ETAPP!B$1:B$32,MATCH(COUNTIF(V46:AE46,PVO!A$16),ETAPP!A$1:A$32,0))&amp;INDEX(ETAPP!B$1:B$32,MATCH(COUNTIF(V46:AE46,PVO!A$17),ETAPP!A$1:A$32,0))&amp;INDEX(ETAPP!B$1:B$32,MATCH(COUNTIF(V46:AE46,PVO!A$18),ETAPP!A$1:A$32,0))&amp;INDEX(ETAPP!B$1:B$32,MATCH(COUNTIF(V46:AE46,PVO!A$19),ETAPP!A$1:A$32,0))&amp;INDEX(ETAPP!B$1:B$32,MATCH(COUNTIF(V46:AE46,PVO!A$20),ETAPP!A$1:A$32,0))&amp;INDEX(ETAPP!B$1:B$32,MATCH(COUNTIF(V46:AE46,PVO!A$21),ETAPP!A$1:A$32,0))&amp;INDEX(ETAPP!B$1:B$32,MATCH(COUNTIF(V46:AE46,PVO!A$22),ETAPP!A$1:A$32,0))</f>
        <v>000000000000A00000000C</v>
      </c>
      <c r="P46" s="268" t="str">
        <f t="shared" si="11"/>
        <v>015,5-000000000000A00000000C</v>
      </c>
      <c r="Q46" s="268">
        <f>COUNTIF(P$7:P$66,"&gt;="&amp;P46)</f>
        <v>41</v>
      </c>
      <c r="R46" s="268">
        <f>COUNTIF(I$7:I$66,"&gt;="&amp;I46)</f>
        <v>55</v>
      </c>
      <c r="S46" s="268" t="str">
        <f t="shared" si="12"/>
        <v>015,5-000000000000A00000000C-055</v>
      </c>
      <c r="T46" s="268">
        <f>COUNTIF(S$7:S$66,"&gt;="&amp;S46)</f>
        <v>40</v>
      </c>
      <c r="U46" s="832">
        <f>RANK(T46,T$7:T$66,0)</f>
        <v>21</v>
      </c>
      <c r="V46" s="210" t="str">
        <f>IFERROR(INDEX('V1'!C$300:C$400,MATCH("*"&amp;I46&amp;"*",'V1'!B$300:B$400,0)),"  ")</f>
        <v xml:space="preserve">  </v>
      </c>
      <c r="W46" s="210">
        <f>IFERROR(INDEX('V2'!C$300:C$400,MATCH("*"&amp;I46&amp;"*",'V2'!B$300:B$400,0)),"  ")</f>
        <v>7.5</v>
      </c>
      <c r="X46" s="210" t="str">
        <f>IFERROR(INDEX('V3'!C$300:C$400,MATCH("*"&amp;I46&amp;"*",'V3'!B$300:B$400,0)),"  ")</f>
        <v xml:space="preserve">  </v>
      </c>
      <c r="Y46" s="210" t="str">
        <f>IFERROR(INDEX('V4'!C$300:C$400,MATCH("*"&amp;I46&amp;"*",'V4'!B$300:B$400,0)),"  ")</f>
        <v xml:space="preserve">  </v>
      </c>
      <c r="Z46" s="210" t="str">
        <f>IFERROR(INDEX('V5'!C$300:C$400,MATCH("*"&amp;I46&amp;"*",'V5'!B$300:B$400,0)),"  ")</f>
        <v xml:space="preserve">  </v>
      </c>
      <c r="AA46" s="210">
        <f>IFERROR(INDEX('V6'!C$300:C$400,MATCH("*"&amp;I46&amp;"*",'V6'!B$300:B$400,0)),"  ")</f>
        <v>8</v>
      </c>
      <c r="AB46" s="210" t="str">
        <f>IFERROR(INDEX('V7'!C$300:C$400,MATCH("*"&amp;I46&amp;"*",'V7'!B$300:B$400,0)),"  ")</f>
        <v xml:space="preserve">  </v>
      </c>
      <c r="AC46" s="210" t="str">
        <f>IFERROR(INDEX('V8'!C$300:C$400,MATCH("*"&amp;I46&amp;"*",'V8'!B$300:B$400,0)),"  ")</f>
        <v xml:space="preserve">  </v>
      </c>
      <c r="AD46" s="210" t="str">
        <f>IFERROR(INDEX('V9'!C$300:C$400,MATCH("*"&amp;I46&amp;"*",'V9'!B$300:B$400,0)),"  ")</f>
        <v xml:space="preserve">  </v>
      </c>
      <c r="AE46" s="210" t="str">
        <f>IFERROR(INDEX('V10'!C$300:C$400,MATCH("*"&amp;I46&amp;"*",'V10'!B$300:B$400,0)),"  ")</f>
        <v xml:space="preserve">  </v>
      </c>
      <c r="AF46" s="211">
        <f t="shared" si="13"/>
        <v>0</v>
      </c>
      <c r="AG46" s="211" t="str">
        <f t="shared" si="8"/>
        <v/>
      </c>
      <c r="AH46" s="1362" t="str">
        <f>IFERROR(IF(COUNTIF(V46:AE46,"&gt;0")&gt;=3,"edasi ","puudu "&amp;3-COUNT(V46:AE46))&amp;IF(OR(COUNTIF(V46:AE46,"&gt;0")&lt;3,COUNTIF(AE$7:AE$66,"&gt;0")=0),"",RANK(AG46,AG$7:AG$66,0)),"")</f>
        <v>puudu 1</v>
      </c>
      <c r="AI46" s="959" t="str">
        <f>IFERROR(INDEX('V-Fin'!A$300:A$325,MATCH(I46,'V-Fin'!B$300:B$325,0)),"")</f>
        <v/>
      </c>
      <c r="AJ46" s="214">
        <f t="shared" si="14"/>
        <v>2</v>
      </c>
      <c r="AK46" s="212">
        <f>IFERROR(IF(V46+1&gt;LARGE(V$7:V$66,1)-2,1),0)+IFERROR(IF(W46+1&gt;LARGE(W$7:W$66,1)-2,1),0)+IFERROR(IF(X46+1&gt;LARGE(X$7:X$66,1)-2,1),0)+IFERROR(IF(Y46+1&gt;LARGE(Y$7:Y$66,1)-2,1),0)+IFERROR(IF(Z46+1&gt;LARGE(Z$7:Z$66,1)-2,1),0)+IFERROR(IF(AA46+1&gt;LARGE(AA$7:AA$66,1)-2,1),0)+IFERROR(IF(AB46+1&gt;LARGE(AB$7:AB$66,1)-2,1),0)+IFERROR(IF(AC46+1&gt;LARGE(AC$7:AC$66,1)-2,1),0)+IFERROR(IF(AD46+1&gt;LARGE(AD$7:AD$66,1)-2,1),0)+IFERROR(IF(AE46+1&gt;LARGE(AE$7:AE$66,1)-2,1),0)</f>
        <v>0</v>
      </c>
      <c r="AL46" s="212">
        <f>IF(V46=0,0,IF(V46=IFERROR(LARGE(V$7:V$66,1),0),1,0))+IF(W46=0,0,IF(W46=IFERROR(LARGE(W$7:W$66,1),0),1,0))+IF(X46=0,0,IF(X46=IFERROR(LARGE(X$7:X$66,1),0),1,0))+IF(Y46=0,0,IF(Y46=IFERROR(LARGE(Y$7:Y$66,1),0),1,0))+IF(Z46=0,0,IF(Z46=IFERROR(LARGE(Z$7:Z$66,1),0),1,0))+IF(AA46=0,0,IF(AA46=IFERROR(LARGE(AA$7:AA$66,1),0),1,0))+IF(AB46=0,0,IF(AB46=IFERROR(LARGE(AB$7:AB$66,1),0),1,0))+IF(AC46=0,0,IF(AC46=IFERROR(LARGE(AC$7:AC$66,1),0),1,0))+IF(AD46=0,0,IF(AD46=IFERROR(LARGE(AD$7:AD$66,1),0),1,0))+IF(AE46=0,0,IF(AE46=IFERROR(LARGE(AE$7:AE$66,1),0),1,0))</f>
        <v>0</v>
      </c>
    </row>
    <row r="47" spans="1:38" x14ac:dyDescent="0.2">
      <c r="A47" s="1026" t="str">
        <f>IF(M47="k",RANK(B47,B$7:B$66,0),"")</f>
        <v/>
      </c>
      <c r="B47" s="266">
        <f t="shared" si="9"/>
        <v>0</v>
      </c>
      <c r="C47" s="944"/>
      <c r="D47" s="1029" t="str">
        <f>IF(J47="n",RANK(E47,E$7:E$66,0),"")</f>
        <v/>
      </c>
      <c r="E47" s="1028">
        <f t="shared" si="6"/>
        <v>0</v>
      </c>
      <c r="F47" s="1025" t="str">
        <f>IF(K47="j",RANK(G47,G$7:G$66,0),"")</f>
        <v/>
      </c>
      <c r="G47" s="266">
        <f t="shared" si="7"/>
        <v>0</v>
      </c>
      <c r="H47" s="209">
        <f>IF(N47&gt;0,RANK(Q47,Q$7:Q$66,1),"")</f>
        <v>40</v>
      </c>
      <c r="I47" s="943" t="s">
        <v>186</v>
      </c>
      <c r="J47" s="269"/>
      <c r="K47" s="270"/>
      <c r="L47" s="1381"/>
      <c r="M47" s="274"/>
      <c r="N47" s="1019">
        <f t="shared" si="10"/>
        <v>15.5</v>
      </c>
      <c r="O47" s="268" t="str">
        <f>INDEX(ETAPP!B$1:B$32,MATCH(COUNTIF(V47:AE47,PVO!A$1),ETAPP!A$1:A$32,0))&amp;INDEX(ETAPP!B$1:B$32,MATCH(COUNTIF(V47:AE47,PVO!A$2),ETAPP!A$1:A$32,0))&amp;INDEX(ETAPP!B$1:B$32,MATCH(COUNTIF(V47:AE47,PVO!A$3),ETAPP!A$1:A$32,0))&amp;INDEX(ETAPP!B$1:B$32,MATCH(COUNTIF(V47:AE47,PVO!A$4),ETAPP!A$1:A$32,0))&amp;INDEX(ETAPP!B$1:B$32,MATCH(COUNTIF(V47:AE47,PVO!A$5),ETAPP!A$1:A$32,0))&amp;INDEX(ETAPP!B$1:B$32,MATCH(COUNTIF(V47:AE47,PVO!A$6),ETAPP!A$1:A$32,0))&amp;INDEX(ETAPP!B$1:B$32,MATCH(COUNTIF(V47:AE47,PVO!A$7),ETAPP!A$1:A$32,0))&amp;INDEX(ETAPP!B$1:B$32,MATCH(COUNTIF(V47:AE47,PVO!A$8),ETAPP!A$1:A$32,0))&amp;INDEX(ETAPP!B$1:B$32,MATCH(COUNTIF(V47:AE47,PVO!A$9),ETAPP!A$1:A$32,0))&amp;INDEX(ETAPP!B$1:B$32,MATCH(COUNTIF(V47:AE47,PVO!A$10),ETAPP!A$1:A$32,0))&amp;INDEX(ETAPP!B$1:B$32,MATCH(COUNTIF(V47:AE47,PVO!A$11),ETAPP!A$1:A$32,0))&amp;INDEX(ETAPP!B$1:B$32,MATCH(COUNTIF(V47:AE47,PVO!A$12),ETAPP!A$1:A$32,0))&amp;INDEX(ETAPP!B$1:B$32,MATCH(COUNTIF(V47:AE47,PVO!A$13),ETAPP!A$1:A$32,0))&amp;INDEX(ETAPP!B$1:B$32,MATCH(COUNTIF(V47:AE47,PVO!A$14),ETAPP!A$1:A$32,0))&amp;INDEX(ETAPP!B$1:B$32,MATCH(COUNTIF(V47:AE47,PVO!A$15),ETAPP!A$1:A$32,0))&amp;INDEX(ETAPP!B$1:B$32,MATCH(COUNTIF(V47:AE47,PVO!A$16),ETAPP!A$1:A$32,0))&amp;INDEX(ETAPP!B$1:B$32,MATCH(COUNTIF(V47:AE47,PVO!A$17),ETAPP!A$1:A$32,0))&amp;INDEX(ETAPP!B$1:B$32,MATCH(COUNTIF(V47:AE47,PVO!A$18),ETAPP!A$1:A$32,0))&amp;INDEX(ETAPP!B$1:B$32,MATCH(COUNTIF(V47:AE47,PVO!A$19),ETAPP!A$1:A$32,0))&amp;INDEX(ETAPP!B$1:B$32,MATCH(COUNTIF(V47:AE47,PVO!A$20),ETAPP!A$1:A$32,0))&amp;INDEX(ETAPP!B$1:B$32,MATCH(COUNTIF(V47:AE47,PVO!A$21),ETAPP!A$1:A$32,0))&amp;INDEX(ETAPP!B$1:B$32,MATCH(COUNTIF(V47:AE47,PVO!A$22),ETAPP!A$1:A$32,0))</f>
        <v>000000000000A00000000C</v>
      </c>
      <c r="P47" s="268" t="str">
        <f t="shared" si="11"/>
        <v>015,5-000000000000A00000000C</v>
      </c>
      <c r="Q47" s="268">
        <f>COUNTIF(P$7:P$66,"&gt;="&amp;P47)</f>
        <v>41</v>
      </c>
      <c r="R47" s="268">
        <f>COUNTIF(I$7:I$66,"&gt;="&amp;I47)</f>
        <v>12</v>
      </c>
      <c r="S47" s="268" t="str">
        <f t="shared" si="12"/>
        <v>015,5-000000000000A00000000C-012</v>
      </c>
      <c r="T47" s="268">
        <f>COUNTIF(S$7:S$66,"&gt;="&amp;S47)</f>
        <v>41</v>
      </c>
      <c r="U47" s="832">
        <f>RANK(T47,T$7:T$66,0)</f>
        <v>20</v>
      </c>
      <c r="V47" s="210" t="str">
        <f>IFERROR(INDEX('V1'!C$300:C$400,MATCH("*"&amp;I47&amp;"*",'V1'!B$300:B$400,0)),"  ")</f>
        <v xml:space="preserve">  </v>
      </c>
      <c r="W47" s="210">
        <f>IFERROR(INDEX('V2'!C$300:C$400,MATCH("*"&amp;I47&amp;"*",'V2'!B$300:B$400,0)),"  ")</f>
        <v>7.5</v>
      </c>
      <c r="X47" s="210" t="str">
        <f>IFERROR(INDEX('V3'!C$300:C$400,MATCH("*"&amp;I47&amp;"*",'V3'!B$300:B$400,0)),"  ")</f>
        <v xml:space="preserve">  </v>
      </c>
      <c r="Y47" s="210" t="str">
        <f>IFERROR(INDEX('V4'!C$300:C$400,MATCH("*"&amp;I47&amp;"*",'V4'!B$300:B$400,0)),"  ")</f>
        <v xml:space="preserve">  </v>
      </c>
      <c r="Z47" s="210" t="str">
        <f>IFERROR(INDEX('V5'!C$300:C$400,MATCH("*"&amp;I47&amp;"*",'V5'!B$300:B$400,0)),"  ")</f>
        <v xml:space="preserve">  </v>
      </c>
      <c r="AA47" s="210">
        <f>IFERROR(INDEX('V6'!C$300:C$400,MATCH("*"&amp;I47&amp;"*",'V6'!B$300:B$400,0)),"  ")</f>
        <v>8</v>
      </c>
      <c r="AB47" s="210" t="str">
        <f>IFERROR(INDEX('V7'!C$300:C$400,MATCH("*"&amp;I47&amp;"*",'V7'!B$300:B$400,0)),"  ")</f>
        <v xml:space="preserve">  </v>
      </c>
      <c r="AC47" s="210" t="str">
        <f>IFERROR(INDEX('V8'!C$300:C$400,MATCH("*"&amp;I47&amp;"*",'V8'!B$300:B$400,0)),"  ")</f>
        <v xml:space="preserve">  </v>
      </c>
      <c r="AD47" s="210" t="str">
        <f>IFERROR(INDEX('V9'!C$300:C$400,MATCH("*"&amp;I47&amp;"*",'V9'!B$300:B$400,0)),"  ")</f>
        <v xml:space="preserve">  </v>
      </c>
      <c r="AE47" s="210" t="str">
        <f>IFERROR(INDEX('V10'!C$300:C$400,MATCH("*"&amp;I47&amp;"*",'V10'!B$300:B$400,0)),"  ")</f>
        <v xml:space="preserve">  </v>
      </c>
      <c r="AF47" s="211">
        <f t="shared" si="13"/>
        <v>0</v>
      </c>
      <c r="AG47" s="211" t="str">
        <f t="shared" si="8"/>
        <v/>
      </c>
      <c r="AH47" s="1362" t="str">
        <f>IFERROR(IF(COUNTIF(V47:AE47,"&gt;0")&gt;=3,"edasi ","puudu "&amp;3-COUNT(V47:AE47))&amp;IF(OR(COUNTIF(V47:AE47,"&gt;0")&lt;3,COUNTIF(AE$7:AE$66,"&gt;0")=0),"",RANK(AG47,AG$7:AG$66,0)),"")</f>
        <v>puudu 1</v>
      </c>
      <c r="AI47" s="959" t="str">
        <f>IFERROR(INDEX('V-Fin'!A$300:A$325,MATCH(I47,'V-Fin'!B$300:B$325,0)),"")</f>
        <v/>
      </c>
      <c r="AJ47" s="214">
        <f t="shared" si="14"/>
        <v>2</v>
      </c>
      <c r="AK47" s="212">
        <f>IFERROR(IF(V47+1&gt;LARGE(V$7:V$66,1)-2,1),0)+IFERROR(IF(W47+1&gt;LARGE(W$7:W$66,1)-2,1),0)+IFERROR(IF(X47+1&gt;LARGE(X$7:X$66,1)-2,1),0)+IFERROR(IF(Y47+1&gt;LARGE(Y$7:Y$66,1)-2,1),0)+IFERROR(IF(Z47+1&gt;LARGE(Z$7:Z$66,1)-2,1),0)+IFERROR(IF(AA47+1&gt;LARGE(AA$7:AA$66,1)-2,1),0)+IFERROR(IF(AB47+1&gt;LARGE(AB$7:AB$66,1)-2,1),0)+IFERROR(IF(AC47+1&gt;LARGE(AC$7:AC$66,1)-2,1),0)+IFERROR(IF(AD47+1&gt;LARGE(AD$7:AD$66,1)-2,1),0)+IFERROR(IF(AE47+1&gt;LARGE(AE$7:AE$66,1)-2,1),0)</f>
        <v>0</v>
      </c>
      <c r="AL47" s="212">
        <f>IF(V47=0,0,IF(V47=IFERROR(LARGE(V$7:V$66,1),0),1,0))+IF(W47=0,0,IF(W47=IFERROR(LARGE(W$7:W$66,1),0),1,0))+IF(X47=0,0,IF(X47=IFERROR(LARGE(X$7:X$66,1),0),1,0))+IF(Y47=0,0,IF(Y47=IFERROR(LARGE(Y$7:Y$66,1),0),1,0))+IF(Z47=0,0,IF(Z47=IFERROR(LARGE(Z$7:Z$66,1),0),1,0))+IF(AA47=0,0,IF(AA47=IFERROR(LARGE(AA$7:AA$66,1),0),1,0))+IF(AB47=0,0,IF(AB47=IFERROR(LARGE(AB$7:AB$66,1),0),1,0))+IF(AC47=0,0,IF(AC47=IFERROR(LARGE(AC$7:AC$66,1),0),1,0))+IF(AD47=0,0,IF(AD47=IFERROR(LARGE(AD$7:AD$66,1),0),1,0))+IF(AE47=0,0,IF(AE47=IFERROR(LARGE(AE$7:AE$66,1),0),1,0))</f>
        <v>0</v>
      </c>
    </row>
    <row r="48" spans="1:38" x14ac:dyDescent="0.2">
      <c r="A48" s="1026">
        <f>IF(M48="k",RANK(B48,B$7:B$66,0),"")</f>
        <v>18</v>
      </c>
      <c r="B48" s="266">
        <f t="shared" si="9"/>
        <v>10014</v>
      </c>
      <c r="C48" s="944"/>
      <c r="D48" s="1029" t="str">
        <f>IF(J48="n",RANK(E48,E$7:E$66,0),"")</f>
        <v/>
      </c>
      <c r="E48" s="1028">
        <f t="shared" si="6"/>
        <v>0</v>
      </c>
      <c r="F48" s="1025" t="str">
        <f>IF(K48="j",RANK(G48,G$7:G$66,0),"")</f>
        <v/>
      </c>
      <c r="G48" s="266">
        <f t="shared" si="7"/>
        <v>0</v>
      </c>
      <c r="H48" s="209">
        <f>IF(N48&gt;0,RANK(Q48,Q$7:Q$66,1),"")</f>
        <v>42</v>
      </c>
      <c r="I48" s="213" t="s">
        <v>492</v>
      </c>
      <c r="J48" s="269"/>
      <c r="K48" s="611"/>
      <c r="L48" s="1382" t="s">
        <v>647</v>
      </c>
      <c r="M48" s="274" t="s">
        <v>187</v>
      </c>
      <c r="N48" s="1019">
        <f t="shared" si="10"/>
        <v>14</v>
      </c>
      <c r="O48" s="268" t="str">
        <f>INDEX(ETAPP!B$1:B$32,MATCH(COUNTIF(V48:AE48,PVO!A$1),ETAPP!A$1:A$32,0))&amp;INDEX(ETAPP!B$1:B$32,MATCH(COUNTIF(V48:AE48,PVO!A$2),ETAPP!A$1:A$32,0))&amp;INDEX(ETAPP!B$1:B$32,MATCH(COUNTIF(V48:AE48,PVO!A$3),ETAPP!A$1:A$32,0))&amp;INDEX(ETAPP!B$1:B$32,MATCH(COUNTIF(V48:AE48,PVO!A$4),ETAPP!A$1:A$32,0))&amp;INDEX(ETAPP!B$1:B$32,MATCH(COUNTIF(V48:AE48,PVO!A$5),ETAPP!A$1:A$32,0))&amp;INDEX(ETAPP!B$1:B$32,MATCH(COUNTIF(V48:AE48,PVO!A$6),ETAPP!A$1:A$32,0))&amp;INDEX(ETAPP!B$1:B$32,MATCH(COUNTIF(V48:AE48,PVO!A$7),ETAPP!A$1:A$32,0))&amp;INDEX(ETAPP!B$1:B$32,MATCH(COUNTIF(V48:AE48,PVO!A$8),ETAPP!A$1:A$32,0))&amp;INDEX(ETAPP!B$1:B$32,MATCH(COUNTIF(V48:AE48,PVO!A$9),ETAPP!A$1:A$32,0))&amp;INDEX(ETAPP!B$1:B$32,MATCH(COUNTIF(V48:AE48,PVO!A$10),ETAPP!A$1:A$32,0))&amp;INDEX(ETAPP!B$1:B$32,MATCH(COUNTIF(V48:AE48,PVO!A$11),ETAPP!A$1:A$32,0))&amp;INDEX(ETAPP!B$1:B$32,MATCH(COUNTIF(V48:AE48,PVO!A$12),ETAPP!A$1:A$32,0))&amp;INDEX(ETAPP!B$1:B$32,MATCH(COUNTIF(V48:AE48,PVO!A$13),ETAPP!A$1:A$32,0))&amp;INDEX(ETAPP!B$1:B$32,MATCH(COUNTIF(V48:AE48,PVO!A$14),ETAPP!A$1:A$32,0))&amp;INDEX(ETAPP!B$1:B$32,MATCH(COUNTIF(V48:AE48,PVO!A$15),ETAPP!A$1:A$32,0))&amp;INDEX(ETAPP!B$1:B$32,MATCH(COUNTIF(V48:AE48,PVO!A$16),ETAPP!A$1:A$32,0))&amp;INDEX(ETAPP!B$1:B$32,MATCH(COUNTIF(V48:AE48,PVO!A$17),ETAPP!A$1:A$32,0))&amp;INDEX(ETAPP!B$1:B$32,MATCH(COUNTIF(V48:AE48,PVO!A$18),ETAPP!A$1:A$32,0))&amp;INDEX(ETAPP!B$1:B$32,MATCH(COUNTIF(V48:AE48,PVO!A$19),ETAPP!A$1:A$32,0))&amp;INDEX(ETAPP!B$1:B$32,MATCH(COUNTIF(V48:AE48,PVO!A$20),ETAPP!A$1:A$32,0))&amp;INDEX(ETAPP!B$1:B$32,MATCH(COUNTIF(V48:AE48,PVO!A$21),ETAPP!A$1:A$32,0))&amp;INDEX(ETAPP!B$1:B$32,MATCH(COUNTIF(V48:AE48,PVO!A$22),ETAPP!A$1:A$32,0))</f>
        <v>000000A00000000000000D</v>
      </c>
      <c r="P48" s="268" t="str">
        <f t="shared" si="11"/>
        <v>014,0-000000A00000000000000D</v>
      </c>
      <c r="Q48" s="268">
        <f>COUNTIF(P$7:P$66,"&gt;="&amp;P48)</f>
        <v>42</v>
      </c>
      <c r="R48" s="268">
        <f>COUNTIF(I$7:I$66,"&gt;="&amp;I48)</f>
        <v>47</v>
      </c>
      <c r="S48" s="268" t="str">
        <f t="shared" si="12"/>
        <v>014,0-000000A00000000000000D-047</v>
      </c>
      <c r="T48" s="268">
        <f>COUNTIF(S$7:S$66,"&gt;="&amp;S48)</f>
        <v>42</v>
      </c>
      <c r="U48" s="832">
        <f>RANK(T48,T$7:T$66,0)</f>
        <v>19</v>
      </c>
      <c r="V48" s="210" t="str">
        <f>IFERROR(INDEX('V1'!C$300:C$400,MATCH("*"&amp;I48&amp;"*",'V1'!B$300:B$400,0)),"  ")</f>
        <v xml:space="preserve">  </v>
      </c>
      <c r="W48" s="210">
        <f>IFERROR(INDEX('V2'!C$300:C$400,MATCH("*"&amp;I48&amp;"*",'V2'!B$300:B$400,0)),"  ")</f>
        <v>14</v>
      </c>
      <c r="X48" s="210" t="str">
        <f>IFERROR(INDEX('V3'!C$300:C$400,MATCH("*"&amp;I48&amp;"*",'V3'!B$300:B$400,0)),"  ")</f>
        <v xml:space="preserve">  </v>
      </c>
      <c r="Y48" s="210" t="str">
        <f>IFERROR(INDEX('V4'!C$300:C$400,MATCH("*"&amp;I48&amp;"*",'V4'!B$300:B$400,0)),"  ")</f>
        <v xml:space="preserve">  </v>
      </c>
      <c r="Z48" s="210" t="str">
        <f>IFERROR(INDEX('V5'!C$300:C$400,MATCH("*"&amp;I48&amp;"*",'V5'!B$300:B$400,0)),"  ")</f>
        <v xml:space="preserve">  </v>
      </c>
      <c r="AA48" s="210" t="str">
        <f>IFERROR(INDEX('V6'!C$300:C$400,MATCH("*"&amp;I48&amp;"*",'V6'!B$300:B$400,0)),"  ")</f>
        <v xml:space="preserve">  </v>
      </c>
      <c r="AB48" s="210" t="str">
        <f>IFERROR(INDEX('V7'!C$300:C$400,MATCH("*"&amp;I48&amp;"*",'V7'!B$300:B$400,0)),"  ")</f>
        <v xml:space="preserve">  </v>
      </c>
      <c r="AC48" s="210" t="str">
        <f>IFERROR(INDEX('V8'!C$300:C$400,MATCH("*"&amp;I48&amp;"*",'V8'!B$300:B$400,0)),"  ")</f>
        <v xml:space="preserve">  </v>
      </c>
      <c r="AD48" s="210" t="str">
        <f>IFERROR(INDEX('V9'!C$300:C$400,MATCH("*"&amp;I48&amp;"*",'V9'!B$300:B$400,0)),"  ")</f>
        <v xml:space="preserve">  </v>
      </c>
      <c r="AE48" s="210" t="str">
        <f>IFERROR(INDEX('V10'!C$300:C$400,MATCH("*"&amp;I48&amp;"*",'V10'!B$300:B$400,0)),"  ")</f>
        <v xml:space="preserve">  </v>
      </c>
      <c r="AF48" s="211">
        <f t="shared" si="13"/>
        <v>0</v>
      </c>
      <c r="AG48" s="211" t="str">
        <f t="shared" si="8"/>
        <v/>
      </c>
      <c r="AH48" s="1362" t="str">
        <f>IFERROR(IF(COUNTIF(V48:AE48,"&gt;0")&gt;=3,"edasi ","puudu "&amp;3-COUNT(V48:AE48))&amp;IF(OR(COUNTIF(V48:AE48,"&gt;0")&lt;3,COUNTIF(AE$7:AE$66,"&gt;0")=0),"",RANK(AG48,AG$7:AG$66,0)),"")</f>
        <v>puudu 2</v>
      </c>
      <c r="AI48" s="959" t="str">
        <f>IFERROR(INDEX('V-Fin'!A$300:A$325,MATCH(I48,'V-Fin'!B$300:B$325,0)),"")</f>
        <v/>
      </c>
      <c r="AJ48" s="214">
        <f t="shared" si="14"/>
        <v>1</v>
      </c>
      <c r="AK48" s="212">
        <f>IFERROR(IF(V48+1&gt;LARGE(V$7:V$66,1)-2,1),0)+IFERROR(IF(W48+1&gt;LARGE(W$7:W$66,1)-2,1),0)+IFERROR(IF(X48+1&gt;LARGE(X$7:X$66,1)-2,1),0)+IFERROR(IF(Y48+1&gt;LARGE(Y$7:Y$66,1)-2,1),0)+IFERROR(IF(Z48+1&gt;LARGE(Z$7:Z$66,1)-2,1),0)+IFERROR(IF(AA48+1&gt;LARGE(AA$7:AA$66,1)-2,1),0)+IFERROR(IF(AB48+1&gt;LARGE(AB$7:AB$66,1)-2,1),0)+IFERROR(IF(AC48+1&gt;LARGE(AC$7:AC$66,1)-2,1),0)+IFERROR(IF(AD48+1&gt;LARGE(AD$7:AD$66,1)-2,1),0)+IFERROR(IF(AE48+1&gt;LARGE(AE$7:AE$66,1)-2,1),0)</f>
        <v>1</v>
      </c>
      <c r="AL48" s="212">
        <f>IF(V48=0,0,IF(V48=IFERROR(LARGE(V$7:V$66,1),0),1,0))+IF(W48=0,0,IF(W48=IFERROR(LARGE(W$7:W$66,1),0),1,0))+IF(X48=0,0,IF(X48=IFERROR(LARGE(X$7:X$66,1),0),1,0))+IF(Y48=0,0,IF(Y48=IFERROR(LARGE(Y$7:Y$66,1),0),1,0))+IF(Z48=0,0,IF(Z48=IFERROR(LARGE(Z$7:Z$66,1),0),1,0))+IF(AA48=0,0,IF(AA48=IFERROR(LARGE(AA$7:AA$66,1),0),1,0))+IF(AB48=0,0,IF(AB48=IFERROR(LARGE(AB$7:AB$66,1),0),1,0))+IF(AC48=0,0,IF(AC48=IFERROR(LARGE(AC$7:AC$66,1),0),1,0))+IF(AD48=0,0,IF(AD48=IFERROR(LARGE(AD$7:AD$66,1),0),1,0))+IF(AE48=0,0,IF(AE48=IFERROR(LARGE(AE$7:AE$66,1),0),1,0))</f>
        <v>0</v>
      </c>
    </row>
    <row r="49" spans="1:38" x14ac:dyDescent="0.2">
      <c r="A49" s="1026">
        <f>IF(M49="k",RANK(B49,B$7:B$66,0),"")</f>
        <v>18</v>
      </c>
      <c r="B49" s="266">
        <f t="shared" si="9"/>
        <v>10014</v>
      </c>
      <c r="C49" s="944"/>
      <c r="D49" s="1029" t="str">
        <f>IF(J49="n",RANK(E49,E$7:E$66,0),"")</f>
        <v/>
      </c>
      <c r="E49" s="1028">
        <f t="shared" si="6"/>
        <v>0</v>
      </c>
      <c r="F49" s="1025" t="str">
        <f>IF(K49="j",RANK(G49,G$7:G$66,0),"")</f>
        <v/>
      </c>
      <c r="G49" s="266">
        <f t="shared" si="7"/>
        <v>0</v>
      </c>
      <c r="H49" s="209">
        <f>IF(N49&gt;0,RANK(Q49,Q$7:Q$66,1),"")</f>
        <v>43</v>
      </c>
      <c r="I49" s="213" t="s">
        <v>124</v>
      </c>
      <c r="J49" s="269"/>
      <c r="K49" s="270"/>
      <c r="L49" s="1382" t="s">
        <v>647</v>
      </c>
      <c r="M49" s="274" t="s">
        <v>187</v>
      </c>
      <c r="N49" s="1019">
        <f t="shared" si="10"/>
        <v>14</v>
      </c>
      <c r="O49" s="268" t="str">
        <f>INDEX(ETAPP!B$1:B$32,MATCH(COUNTIF(V49:AE49,PVO!A$1),ETAPP!A$1:A$32,0))&amp;INDEX(ETAPP!B$1:B$32,MATCH(COUNTIF(V49:AE49,PVO!A$2),ETAPP!A$1:A$32,0))&amp;INDEX(ETAPP!B$1:B$32,MATCH(COUNTIF(V49:AE49,PVO!A$3),ETAPP!A$1:A$32,0))&amp;INDEX(ETAPP!B$1:B$32,MATCH(COUNTIF(V49:AE49,PVO!A$4),ETAPP!A$1:A$32,0))&amp;INDEX(ETAPP!B$1:B$32,MATCH(COUNTIF(V49:AE49,PVO!A$5),ETAPP!A$1:A$32,0))&amp;INDEX(ETAPP!B$1:B$32,MATCH(COUNTIF(V49:AE49,PVO!A$6),ETAPP!A$1:A$32,0))&amp;INDEX(ETAPP!B$1:B$32,MATCH(COUNTIF(V49:AE49,PVO!A$7),ETAPP!A$1:A$32,0))&amp;INDEX(ETAPP!B$1:B$32,MATCH(COUNTIF(V49:AE49,PVO!A$8),ETAPP!A$1:A$32,0))&amp;INDEX(ETAPP!B$1:B$32,MATCH(COUNTIF(V49:AE49,PVO!A$9),ETAPP!A$1:A$32,0))&amp;INDEX(ETAPP!B$1:B$32,MATCH(COUNTIF(V49:AE49,PVO!A$10),ETAPP!A$1:A$32,0))&amp;INDEX(ETAPP!B$1:B$32,MATCH(COUNTIF(V49:AE49,PVO!A$11),ETAPP!A$1:A$32,0))&amp;INDEX(ETAPP!B$1:B$32,MATCH(COUNTIF(V49:AE49,PVO!A$12),ETAPP!A$1:A$32,0))&amp;INDEX(ETAPP!B$1:B$32,MATCH(COUNTIF(V49:AE49,PVO!A$13),ETAPP!A$1:A$32,0))&amp;INDEX(ETAPP!B$1:B$32,MATCH(COUNTIF(V49:AE49,PVO!A$14),ETAPP!A$1:A$32,0))&amp;INDEX(ETAPP!B$1:B$32,MATCH(COUNTIF(V49:AE49,PVO!A$15),ETAPP!A$1:A$32,0))&amp;INDEX(ETAPP!B$1:B$32,MATCH(COUNTIF(V49:AE49,PVO!A$16),ETAPP!A$1:A$32,0))&amp;INDEX(ETAPP!B$1:B$32,MATCH(COUNTIF(V49:AE49,PVO!A$17),ETAPP!A$1:A$32,0))&amp;INDEX(ETAPP!B$1:B$32,MATCH(COUNTIF(V49:AE49,PVO!A$18),ETAPP!A$1:A$32,0))&amp;INDEX(ETAPP!B$1:B$32,MATCH(COUNTIF(V49:AE49,PVO!A$19),ETAPP!A$1:A$32,0))&amp;INDEX(ETAPP!B$1:B$32,MATCH(COUNTIF(V49:AE49,PVO!A$20),ETAPP!A$1:A$32,0))&amp;INDEX(ETAPP!B$1:B$32,MATCH(COUNTIF(V49:AE49,PVO!A$21),ETAPP!A$1:A$32,0))&amp;INDEX(ETAPP!B$1:B$32,MATCH(COUNTIF(V49:AE49,PVO!A$22),ETAPP!A$1:A$32,0))</f>
        <v>0000000000000000C0A00F</v>
      </c>
      <c r="P49" s="268" t="str">
        <f t="shared" si="11"/>
        <v>014,0-0000000000000000C0A00F</v>
      </c>
      <c r="Q49" s="268">
        <f>COUNTIF(P$7:P$66,"&gt;="&amp;P49)</f>
        <v>43</v>
      </c>
      <c r="R49" s="268">
        <f>COUNTIF(I$7:I$66,"&gt;="&amp;I49)</f>
        <v>44</v>
      </c>
      <c r="S49" s="268" t="str">
        <f t="shared" si="12"/>
        <v>014,0-0000000000000000C0A00F-044</v>
      </c>
      <c r="T49" s="268">
        <f>COUNTIF(S$7:S$66,"&gt;="&amp;S49)</f>
        <v>43</v>
      </c>
      <c r="U49" s="832">
        <f>RANK(T49,T$7:T$66,0)</f>
        <v>18</v>
      </c>
      <c r="V49" s="210" t="str">
        <f>IFERROR(INDEX('V1'!C$300:C$400,MATCH("*"&amp;I49&amp;"*",'V1'!B$300:B$400,0)),"  ")</f>
        <v xml:space="preserve">  </v>
      </c>
      <c r="W49" s="210" t="str">
        <f>IFERROR(INDEX('V2'!C$300:C$400,MATCH("*"&amp;I49&amp;"*",'V2'!B$300:B$400,0)),"  ")</f>
        <v xml:space="preserve">  </v>
      </c>
      <c r="X49" s="210" t="str">
        <f>IFERROR(INDEX('V3'!C$300:C$400,MATCH("*"&amp;I49&amp;"*",'V3'!B$300:B$400,0)),"  ")</f>
        <v xml:space="preserve">  </v>
      </c>
      <c r="Y49" s="210" t="str">
        <f>IFERROR(INDEX('V4'!C$300:C$400,MATCH("*"&amp;I49&amp;"*",'V4'!B$300:B$400,0)),"  ")</f>
        <v xml:space="preserve">  </v>
      </c>
      <c r="Z49" s="210" t="str">
        <f>IFERROR(INDEX('V5'!C$300:C$400,MATCH("*"&amp;I49&amp;"*",'V5'!B$300:B$400,0)),"  ")</f>
        <v xml:space="preserve">  </v>
      </c>
      <c r="AA49" s="210" t="str">
        <f>IFERROR(INDEX('V6'!C$300:C$400,MATCH("*"&amp;I49&amp;"*",'V6'!B$300:B$400,0)),"  ")</f>
        <v xml:space="preserve">  </v>
      </c>
      <c r="AB49" s="210">
        <f>IFERROR(INDEX('V7'!C$300:C$400,MATCH("*"&amp;I49&amp;"*",'V7'!B$300:B$400,0)),"  ")</f>
        <v>4</v>
      </c>
      <c r="AC49" s="210">
        <f>IFERROR(INDEX('V8'!C$300:C$400,MATCH("*"&amp;I49&amp;"*",'V8'!B$300:B$400,0)),"  ")</f>
        <v>2</v>
      </c>
      <c r="AD49" s="210">
        <f>IFERROR(INDEX('V9'!C$300:C$400,MATCH("*"&amp;I49&amp;"*",'V9'!B$300:B$400,0)),"  ")</f>
        <v>4</v>
      </c>
      <c r="AE49" s="210">
        <f>IFERROR(INDEX('V10'!C$300:C$400,MATCH("*"&amp;I49&amp;"*",'V10'!B$300:B$400,0)),"  ")</f>
        <v>4</v>
      </c>
      <c r="AF49" s="211">
        <f t="shared" si="13"/>
        <v>1</v>
      </c>
      <c r="AG49" s="211">
        <f t="shared" si="8"/>
        <v>18</v>
      </c>
      <c r="AH49" s="1362" t="str">
        <f>IFERROR(IF(COUNTIF(V49:AE49,"&gt;0")&gt;=3,"edasi ","puudu "&amp;3-COUNT(V49:AE49))&amp;IF(OR(COUNTIF(V49:AE49,"&gt;0")&lt;3,COUNTIF(AE$7:AE$66,"&gt;0")=0),"",RANK(AG49,AG$7:AG$66,0)),"")</f>
        <v>edasi 37</v>
      </c>
      <c r="AI49" s="959">
        <f>IFERROR(INDEX('V-Fin'!A$300:A$325,MATCH(I49,'V-Fin'!B$300:B$325,0)),"")</f>
        <v>26</v>
      </c>
      <c r="AJ49" s="214">
        <f t="shared" si="14"/>
        <v>4</v>
      </c>
      <c r="AK49" s="212">
        <f>IFERROR(IF(V49+1&gt;LARGE(V$7:V$66,1)-2,1),0)+IFERROR(IF(W49+1&gt;LARGE(W$7:W$66,1)-2,1),0)+IFERROR(IF(X49+1&gt;LARGE(X$7:X$66,1)-2,1),0)+IFERROR(IF(Y49+1&gt;LARGE(Y$7:Y$66,1)-2,1),0)+IFERROR(IF(Z49+1&gt;LARGE(Z$7:Z$66,1)-2,1),0)+IFERROR(IF(AA49+1&gt;LARGE(AA$7:AA$66,1)-2,1),0)+IFERROR(IF(AB49+1&gt;LARGE(AB$7:AB$66,1)-2,1),0)+IFERROR(IF(AC49+1&gt;LARGE(AC$7:AC$66,1)-2,1),0)+IFERROR(IF(AD49+1&gt;LARGE(AD$7:AD$66,1)-2,1),0)+IFERROR(IF(AE49+1&gt;LARGE(AE$7:AE$66,1)-2,1),0)</f>
        <v>0</v>
      </c>
      <c r="AL49" s="212">
        <f>IF(V49=0,0,IF(V49=IFERROR(LARGE(V$7:V$66,1),0),1,0))+IF(W49=0,0,IF(W49=IFERROR(LARGE(W$7:W$66,1),0),1,0))+IF(X49=0,0,IF(X49=IFERROR(LARGE(X$7:X$66,1),0),1,0))+IF(Y49=0,0,IF(Y49=IFERROR(LARGE(Y$7:Y$66,1),0),1,0))+IF(Z49=0,0,IF(Z49=IFERROR(LARGE(Z$7:Z$66,1),0),1,0))+IF(AA49=0,0,IF(AA49=IFERROR(LARGE(AA$7:AA$66,1),0),1,0))+IF(AB49=0,0,IF(AB49=IFERROR(LARGE(AB$7:AB$66,1),0),1,0))+IF(AC49=0,0,IF(AC49=IFERROR(LARGE(AC$7:AC$66,1),0),1,0))+IF(AD49=0,0,IF(AD49=IFERROR(LARGE(AD$7:AD$66,1),0),1,0))+IF(AE49=0,0,IF(AE49=IFERROR(LARGE(AE$7:AE$66,1),0),1,0))</f>
        <v>0</v>
      </c>
    </row>
    <row r="50" spans="1:38" x14ac:dyDescent="0.2">
      <c r="A50" s="1026">
        <f>IF(M50="k",RANK(B50,B$7:B$66,0),"")</f>
        <v>18</v>
      </c>
      <c r="B50" s="266">
        <f t="shared" si="9"/>
        <v>10014</v>
      </c>
      <c r="C50" s="944"/>
      <c r="D50" s="1029" t="str">
        <f>IF(J50="n",RANK(E50,E$7:E$66,0),"")</f>
        <v/>
      </c>
      <c r="E50" s="1028">
        <f t="shared" si="6"/>
        <v>0</v>
      </c>
      <c r="F50" s="1025" t="str">
        <f>IF(K50="j",RANK(G50,G$7:G$66,0),"")</f>
        <v/>
      </c>
      <c r="G50" s="266">
        <f t="shared" si="7"/>
        <v>0</v>
      </c>
      <c r="H50" s="209">
        <f>IF(N50&gt;0,RANK(Q50,Q$7:Q$66,1),"")</f>
        <v>44</v>
      </c>
      <c r="I50" s="213" t="s">
        <v>208</v>
      </c>
      <c r="J50" s="269"/>
      <c r="K50" s="270"/>
      <c r="L50" s="1382" t="s">
        <v>647</v>
      </c>
      <c r="M50" s="274" t="s">
        <v>187</v>
      </c>
      <c r="N50" s="1019">
        <f t="shared" si="10"/>
        <v>14</v>
      </c>
      <c r="O50" s="268" t="str">
        <f>INDEX(ETAPP!B$1:B$32,MATCH(COUNTIF(V50:AE50,PVO!A$1),ETAPP!A$1:A$32,0))&amp;INDEX(ETAPP!B$1:B$32,MATCH(COUNTIF(V50:AE50,PVO!A$2),ETAPP!A$1:A$32,0))&amp;INDEX(ETAPP!B$1:B$32,MATCH(COUNTIF(V50:AE50,PVO!A$3),ETAPP!A$1:A$32,0))&amp;INDEX(ETAPP!B$1:B$32,MATCH(COUNTIF(V50:AE50,PVO!A$4),ETAPP!A$1:A$32,0))&amp;INDEX(ETAPP!B$1:B$32,MATCH(COUNTIF(V50:AE50,PVO!A$5),ETAPP!A$1:A$32,0))&amp;INDEX(ETAPP!B$1:B$32,MATCH(COUNTIF(V50:AE50,PVO!A$6),ETAPP!A$1:A$32,0))&amp;INDEX(ETAPP!B$1:B$32,MATCH(COUNTIF(V50:AE50,PVO!A$7),ETAPP!A$1:A$32,0))&amp;INDEX(ETAPP!B$1:B$32,MATCH(COUNTIF(V50:AE50,PVO!A$8),ETAPP!A$1:A$32,0))&amp;INDEX(ETAPP!B$1:B$32,MATCH(COUNTIF(V50:AE50,PVO!A$9),ETAPP!A$1:A$32,0))&amp;INDEX(ETAPP!B$1:B$32,MATCH(COUNTIF(V50:AE50,PVO!A$10),ETAPP!A$1:A$32,0))&amp;INDEX(ETAPP!B$1:B$32,MATCH(COUNTIF(V50:AE50,PVO!A$11),ETAPP!A$1:A$32,0))&amp;INDEX(ETAPP!B$1:B$32,MATCH(COUNTIF(V50:AE50,PVO!A$12),ETAPP!A$1:A$32,0))&amp;INDEX(ETAPP!B$1:B$32,MATCH(COUNTIF(V50:AE50,PVO!A$13),ETAPP!A$1:A$32,0))&amp;INDEX(ETAPP!B$1:B$32,MATCH(COUNTIF(V50:AE50,PVO!A$14),ETAPP!A$1:A$32,0))&amp;INDEX(ETAPP!B$1:B$32,MATCH(COUNTIF(V50:AE50,PVO!A$15),ETAPP!A$1:A$32,0))&amp;INDEX(ETAPP!B$1:B$32,MATCH(COUNTIF(V50:AE50,PVO!A$16),ETAPP!A$1:A$32,0))&amp;INDEX(ETAPP!B$1:B$32,MATCH(COUNTIF(V50:AE50,PVO!A$17),ETAPP!A$1:A$32,0))&amp;INDEX(ETAPP!B$1:B$32,MATCH(COUNTIF(V50:AE50,PVO!A$18),ETAPP!A$1:A$32,0))&amp;INDEX(ETAPP!B$1:B$32,MATCH(COUNTIF(V50:AE50,PVO!A$19),ETAPP!A$1:A$32,0))&amp;INDEX(ETAPP!B$1:B$32,MATCH(COUNTIF(V50:AE50,PVO!A$20),ETAPP!A$1:A$32,0))&amp;INDEX(ETAPP!B$1:B$32,MATCH(COUNTIF(V50:AE50,PVO!A$21),ETAPP!A$1:A$32,0))&amp;INDEX(ETAPP!B$1:B$32,MATCH(COUNTIF(V50:AE50,PVO!A$22),ETAPP!A$1:A$32,0))</f>
        <v>0000000000000000BAAA0E</v>
      </c>
      <c r="P50" s="268" t="str">
        <f t="shared" si="11"/>
        <v>014,0-0000000000000000BAAA0E</v>
      </c>
      <c r="Q50" s="268">
        <f>COUNTIF(P$7:P$66,"&gt;="&amp;P50)</f>
        <v>44</v>
      </c>
      <c r="R50" s="268">
        <f>COUNTIF(I$7:I$66,"&gt;="&amp;I50)</f>
        <v>42</v>
      </c>
      <c r="S50" s="268" t="str">
        <f t="shared" si="12"/>
        <v>014,0-0000000000000000BAAA0E-042</v>
      </c>
      <c r="T50" s="268">
        <f>COUNTIF(S$7:S$66,"&gt;="&amp;S50)</f>
        <v>44</v>
      </c>
      <c r="U50" s="832">
        <f>RANK(T50,T$7:T$66,0)</f>
        <v>17</v>
      </c>
      <c r="V50" s="210">
        <f>IFERROR(INDEX('V1'!C$300:C$400,MATCH("*"&amp;I50&amp;"*",'V1'!B$300:B$400,0)),"  ")</f>
        <v>3</v>
      </c>
      <c r="W50" s="210" t="str">
        <f>IFERROR(INDEX('V2'!C$300:C$400,MATCH("*"&amp;I50&amp;"*",'V2'!B$300:B$400,0)),"  ")</f>
        <v xml:space="preserve">  </v>
      </c>
      <c r="X50" s="210" t="str">
        <f>IFERROR(INDEX('V3'!C$300:C$400,MATCH("*"&amp;I50&amp;"*",'V3'!B$300:B$400,0)),"  ")</f>
        <v xml:space="preserve">  </v>
      </c>
      <c r="Y50" s="210" t="str">
        <f>IFERROR(INDEX('V4'!C$300:C$400,MATCH("*"&amp;I50&amp;"*",'V4'!B$300:B$400,0)),"  ")</f>
        <v xml:space="preserve">  </v>
      </c>
      <c r="Z50" s="210" t="str">
        <f>IFERROR(INDEX('V5'!C$300:C$400,MATCH("*"&amp;I50&amp;"*",'V5'!B$300:B$400,0)),"  ")</f>
        <v xml:space="preserve">  </v>
      </c>
      <c r="AA50" s="210">
        <f>IFERROR(INDEX('V6'!C$300:C$400,MATCH("*"&amp;I50&amp;"*",'V6'!B$300:B$400,0)),"  ")</f>
        <v>1</v>
      </c>
      <c r="AB50" s="210">
        <f>IFERROR(INDEX('V7'!C$300:C$400,MATCH("*"&amp;I50&amp;"*",'V7'!B$300:B$400,0)),"  ")</f>
        <v>4</v>
      </c>
      <c r="AC50" s="210">
        <f>IFERROR(INDEX('V8'!C$300:C$400,MATCH("*"&amp;I50&amp;"*",'V8'!B$300:B$400,0)),"  ")</f>
        <v>2</v>
      </c>
      <c r="AD50" s="210">
        <f>IFERROR(INDEX('V9'!C$300:C$400,MATCH("*"&amp;I50&amp;"*",'V9'!B$300:B$400,0)),"  ")</f>
        <v>4</v>
      </c>
      <c r="AE50" s="210" t="str">
        <f>IFERROR(INDEX('V10'!C$300:C$400,MATCH("*"&amp;I50&amp;"*",'V10'!B$300:B$400,0)),"  ")</f>
        <v xml:space="preserve">  </v>
      </c>
      <c r="AF50" s="211">
        <f t="shared" si="13"/>
        <v>1</v>
      </c>
      <c r="AG50" s="211">
        <f t="shared" si="8"/>
        <v>17</v>
      </c>
      <c r="AH50" s="1362" t="str">
        <f>IFERROR(IF(COUNTIF(V50:AE50,"&gt;0")&gt;=3,"edasi ","puudu "&amp;3-COUNT(V50:AE50))&amp;IF(OR(COUNTIF(V50:AE50,"&gt;0")&lt;3,COUNTIF(AE$7:AE$66,"&gt;0")=0),"",RANK(AG50,AG$7:AG$66,0)),"")</f>
        <v>edasi 38</v>
      </c>
      <c r="AI50" s="959">
        <f>IFERROR(INDEX('V-Fin'!A$300:A$325,MATCH(I50,'V-Fin'!B$300:B$325,0)),"")</f>
        <v>11</v>
      </c>
      <c r="AJ50" s="214">
        <f t="shared" si="14"/>
        <v>5</v>
      </c>
      <c r="AK50" s="212">
        <f>IFERROR(IF(V50+1&gt;LARGE(V$7:V$66,1)-2,1),0)+IFERROR(IF(W50+1&gt;LARGE(W$7:W$66,1)-2,1),0)+IFERROR(IF(X50+1&gt;LARGE(X$7:X$66,1)-2,1),0)+IFERROR(IF(Y50+1&gt;LARGE(Y$7:Y$66,1)-2,1),0)+IFERROR(IF(Z50+1&gt;LARGE(Z$7:Z$66,1)-2,1),0)+IFERROR(IF(AA50+1&gt;LARGE(AA$7:AA$66,1)-2,1),0)+IFERROR(IF(AB50+1&gt;LARGE(AB$7:AB$66,1)-2,1),0)+IFERROR(IF(AC50+1&gt;LARGE(AC$7:AC$66,1)-2,1),0)+IFERROR(IF(AD50+1&gt;LARGE(AD$7:AD$66,1)-2,1),0)+IFERROR(IF(AE50+1&gt;LARGE(AE$7:AE$66,1)-2,1),0)</f>
        <v>0</v>
      </c>
      <c r="AL50" s="212">
        <f>IF(V50=0,0,IF(V50=IFERROR(LARGE(V$7:V$66,1),0),1,0))+IF(W50=0,0,IF(W50=IFERROR(LARGE(W$7:W$66,1),0),1,0))+IF(X50=0,0,IF(X50=IFERROR(LARGE(X$7:X$66,1),0),1,0))+IF(Y50=0,0,IF(Y50=IFERROR(LARGE(Y$7:Y$66,1),0),1,0))+IF(Z50=0,0,IF(Z50=IFERROR(LARGE(Z$7:Z$66,1),0),1,0))+IF(AA50=0,0,IF(AA50=IFERROR(LARGE(AA$7:AA$66,1),0),1,0))+IF(AB50=0,0,IF(AB50=IFERROR(LARGE(AB$7:AB$66,1),0),1,0))+IF(AC50=0,0,IF(AC50=IFERROR(LARGE(AC$7:AC$66,1),0),1,0))+IF(AD50=0,0,IF(AD50=IFERROR(LARGE(AD$7:AD$66,1),0),1,0))+IF(AE50=0,0,IF(AE50=IFERROR(LARGE(AE$7:AE$66,1),0),1,0))</f>
        <v>0</v>
      </c>
    </row>
    <row r="51" spans="1:38" x14ac:dyDescent="0.2">
      <c r="A51" s="1026" t="str">
        <f>IF(M51="k",RANK(B51,B$7:B$66,0),"")</f>
        <v/>
      </c>
      <c r="B51" s="266">
        <f t="shared" si="9"/>
        <v>0</v>
      </c>
      <c r="C51" s="944"/>
      <c r="D51" s="1029" t="str">
        <f>IF(J51="n",RANK(E51,E$7:E$66,0),"")</f>
        <v/>
      </c>
      <c r="E51" s="1028">
        <f t="shared" si="6"/>
        <v>0</v>
      </c>
      <c r="F51" s="1025">
        <f>IF(K51="j",RANK(G51,G$7:G$66,0),"")</f>
        <v>4</v>
      </c>
      <c r="G51" s="266">
        <f t="shared" si="7"/>
        <v>10013.5</v>
      </c>
      <c r="H51" s="209">
        <f>IF(N51&gt;0,RANK(Q51,Q$7:Q$66,1),"")</f>
        <v>45</v>
      </c>
      <c r="I51" s="213" t="s">
        <v>206</v>
      </c>
      <c r="J51" s="269"/>
      <c r="K51" s="611" t="s">
        <v>138</v>
      </c>
      <c r="L51" s="1381"/>
      <c r="M51" s="274"/>
      <c r="N51" s="1019">
        <f t="shared" si="10"/>
        <v>13.5</v>
      </c>
      <c r="O51" s="268" t="str">
        <f>INDEX(ETAPP!B$1:B$32,MATCH(COUNTIF(V51:AE51,PVO!A$1),ETAPP!A$1:A$32,0))&amp;INDEX(ETAPP!B$1:B$32,MATCH(COUNTIF(V51:AE51,PVO!A$2),ETAPP!A$1:A$32,0))&amp;INDEX(ETAPP!B$1:B$32,MATCH(COUNTIF(V51:AE51,PVO!A$3),ETAPP!A$1:A$32,0))&amp;INDEX(ETAPP!B$1:B$32,MATCH(COUNTIF(V51:AE51,PVO!A$4),ETAPP!A$1:A$32,0))&amp;INDEX(ETAPP!B$1:B$32,MATCH(COUNTIF(V51:AE51,PVO!A$5),ETAPP!A$1:A$32,0))&amp;INDEX(ETAPP!B$1:B$32,MATCH(COUNTIF(V51:AE51,PVO!A$6),ETAPP!A$1:A$32,0))&amp;INDEX(ETAPP!B$1:B$32,MATCH(COUNTIF(V51:AE51,PVO!A$7),ETAPP!A$1:A$32,0))&amp;INDEX(ETAPP!B$1:B$32,MATCH(COUNTIF(V51:AE51,PVO!A$8),ETAPP!A$1:A$32,0))&amp;INDEX(ETAPP!B$1:B$32,MATCH(COUNTIF(V51:AE51,PVO!A$9),ETAPP!A$1:A$32,0))&amp;INDEX(ETAPP!B$1:B$32,MATCH(COUNTIF(V51:AE51,PVO!A$10),ETAPP!A$1:A$32,0))&amp;INDEX(ETAPP!B$1:B$32,MATCH(COUNTIF(V51:AE51,PVO!A$11),ETAPP!A$1:A$32,0))&amp;INDEX(ETAPP!B$1:B$32,MATCH(COUNTIF(V51:AE51,PVO!A$12),ETAPP!A$1:A$32,0))&amp;INDEX(ETAPP!B$1:B$32,MATCH(COUNTIF(V51:AE51,PVO!A$13),ETAPP!A$1:A$32,0))&amp;INDEX(ETAPP!B$1:B$32,MATCH(COUNTIF(V51:AE51,PVO!A$14),ETAPP!A$1:A$32,0))&amp;INDEX(ETAPP!B$1:B$32,MATCH(COUNTIF(V51:AE51,PVO!A$15),ETAPP!A$1:A$32,0))&amp;INDEX(ETAPP!B$1:B$32,MATCH(COUNTIF(V51:AE51,PVO!A$16),ETAPP!A$1:A$32,0))&amp;INDEX(ETAPP!B$1:B$32,MATCH(COUNTIF(V51:AE51,PVO!A$17),ETAPP!A$1:A$32,0))&amp;INDEX(ETAPP!B$1:B$32,MATCH(COUNTIF(V51:AE51,PVO!A$18),ETAPP!A$1:A$32,0))&amp;INDEX(ETAPP!B$1:B$32,MATCH(COUNTIF(V51:AE51,PVO!A$19),ETAPP!A$1:A$32,0))&amp;INDEX(ETAPP!B$1:B$32,MATCH(COUNTIF(V51:AE51,PVO!A$20),ETAPP!A$1:A$32,0))&amp;INDEX(ETAPP!B$1:B$32,MATCH(COUNTIF(V51:AE51,PVO!A$21),ETAPP!A$1:A$32,0))&amp;INDEX(ETAPP!B$1:B$32,MATCH(COUNTIF(V51:AE51,PVO!A$22),ETAPP!A$1:A$32,0))</f>
        <v>000000000000000A0A000G</v>
      </c>
      <c r="P51" s="268" t="str">
        <f t="shared" si="11"/>
        <v>013,5-000000000000000A0A000G</v>
      </c>
      <c r="Q51" s="268">
        <f>COUNTIF(P$7:P$66,"&gt;="&amp;P51)</f>
        <v>45</v>
      </c>
      <c r="R51" s="268">
        <f>COUNTIF(I$7:I$66,"&gt;="&amp;I51)</f>
        <v>17</v>
      </c>
      <c r="S51" s="268" t="str">
        <f t="shared" si="12"/>
        <v>013,5-000000000000000A0A000G-017</v>
      </c>
      <c r="T51" s="268">
        <f>COUNTIF(S$7:S$66,"&gt;="&amp;S51)</f>
        <v>45</v>
      </c>
      <c r="U51" s="832">
        <f>RANK(T51,T$7:T$66,0)</f>
        <v>16</v>
      </c>
      <c r="V51" s="210">
        <f>IFERROR(INDEX('V1'!C$300:C$400,MATCH("*"&amp;I51&amp;"*",'V1'!B$300:B$400,0)),"  ")</f>
        <v>5</v>
      </c>
      <c r="W51" s="210" t="str">
        <f>IFERROR(INDEX('V2'!C$300:C$400,MATCH("*"&amp;I51&amp;"*",'V2'!B$300:B$400,0)),"  ")</f>
        <v xml:space="preserve">  </v>
      </c>
      <c r="X51" s="210">
        <f>IFERROR(INDEX('V3'!C$300:C$400,MATCH("*"&amp;I51&amp;"*",'V3'!B$300:B$400,0)),"  ")</f>
        <v>3</v>
      </c>
      <c r="Y51" s="210" t="str">
        <f>IFERROR(INDEX('V4'!C$300:C$400,MATCH("*"&amp;I51&amp;"*",'V4'!B$300:B$400,0)),"  ")</f>
        <v xml:space="preserve">  </v>
      </c>
      <c r="Z51" s="210">
        <f>IFERROR(INDEX('V5'!C$300:C$400,MATCH("*"&amp;I51&amp;"*",'V5'!B$300:B$400,0)),"  ")</f>
        <v>5.5</v>
      </c>
      <c r="AA51" s="210" t="str">
        <f>IFERROR(INDEX('V6'!C$300:C$400,MATCH("*"&amp;I51&amp;"*",'V6'!B$300:B$400,0)),"  ")</f>
        <v xml:space="preserve">  </v>
      </c>
      <c r="AB51" s="210" t="str">
        <f>IFERROR(INDEX('V7'!C$300:C$400,MATCH("*"&amp;I51&amp;"*",'V7'!B$300:B$400,0)),"  ")</f>
        <v xml:space="preserve">  </v>
      </c>
      <c r="AC51" s="210" t="str">
        <f>IFERROR(INDEX('V8'!C$300:C$400,MATCH("*"&amp;I51&amp;"*",'V8'!B$300:B$400,0)),"  ")</f>
        <v xml:space="preserve">  </v>
      </c>
      <c r="AD51" s="210" t="str">
        <f>IFERROR(INDEX('V9'!C$300:C$400,MATCH("*"&amp;I51&amp;"*",'V9'!B$300:B$400,0)),"  ")</f>
        <v xml:space="preserve">  </v>
      </c>
      <c r="AE51" s="210" t="str">
        <f>IFERROR(INDEX('V10'!C$300:C$400,MATCH("*"&amp;I51&amp;"*",'V10'!B$300:B$400,0)),"  ")</f>
        <v xml:space="preserve">  </v>
      </c>
      <c r="AF51" s="211">
        <f t="shared" si="13"/>
        <v>1</v>
      </c>
      <c r="AG51" s="211">
        <f t="shared" si="8"/>
        <v>16</v>
      </c>
      <c r="AH51" s="1362" t="str">
        <f>IFERROR(IF(COUNTIF(V51:AE51,"&gt;0")&gt;=3,"edasi ","puudu "&amp;3-COUNT(V51:AE51))&amp;IF(OR(COUNTIF(V51:AE51,"&gt;0")&lt;3,COUNTIF(AE$7:AE$66,"&gt;0")=0),"",RANK(AG51,AG$7:AG$66,0)),"")</f>
        <v>edasi 39</v>
      </c>
      <c r="AI51" s="959" t="str">
        <f>IFERROR(INDEX('V-Fin'!A$300:A$325,MATCH(I51,'V-Fin'!B$300:B$325,0)),"")</f>
        <v/>
      </c>
      <c r="AJ51" s="214">
        <f t="shared" si="14"/>
        <v>3</v>
      </c>
      <c r="AK51" s="212">
        <f>IFERROR(IF(V51+1&gt;LARGE(V$7:V$66,1)-2,1),0)+IFERROR(IF(W51+1&gt;LARGE(W$7:W$66,1)-2,1),0)+IFERROR(IF(X51+1&gt;LARGE(X$7:X$66,1)-2,1),0)+IFERROR(IF(Y51+1&gt;LARGE(Y$7:Y$66,1)-2,1),0)+IFERROR(IF(Z51+1&gt;LARGE(Z$7:Z$66,1)-2,1),0)+IFERROR(IF(AA51+1&gt;LARGE(AA$7:AA$66,1)-2,1),0)+IFERROR(IF(AB51+1&gt;LARGE(AB$7:AB$66,1)-2,1),0)+IFERROR(IF(AC51+1&gt;LARGE(AC$7:AC$66,1)-2,1),0)+IFERROR(IF(AD51+1&gt;LARGE(AD$7:AD$66,1)-2,1),0)+IFERROR(IF(AE51+1&gt;LARGE(AE$7:AE$66,1)-2,1),0)</f>
        <v>0</v>
      </c>
      <c r="AL51" s="212">
        <f>IF(V51=0,0,IF(V51=IFERROR(LARGE(V$7:V$66,1),0),1,0))+IF(W51=0,0,IF(W51=IFERROR(LARGE(W$7:W$66,1),0),1,0))+IF(X51=0,0,IF(X51=IFERROR(LARGE(X$7:X$66,1),0),1,0))+IF(Y51=0,0,IF(Y51=IFERROR(LARGE(Y$7:Y$66,1),0),1,0))+IF(Z51=0,0,IF(Z51=IFERROR(LARGE(Z$7:Z$66,1),0),1,0))+IF(AA51=0,0,IF(AA51=IFERROR(LARGE(AA$7:AA$66,1),0),1,0))+IF(AB51=0,0,IF(AB51=IFERROR(LARGE(AB$7:AB$66,1),0),1,0))+IF(AC51=0,0,IF(AC51=IFERROR(LARGE(AC$7:AC$66,1),0),1,0))+IF(AD51=0,0,IF(AD51=IFERROR(LARGE(AD$7:AD$66,1),0),1,0))+IF(AE51=0,0,IF(AE51=IFERROR(LARGE(AE$7:AE$66,1),0),1,0))</f>
        <v>0</v>
      </c>
    </row>
    <row r="52" spans="1:38" x14ac:dyDescent="0.2">
      <c r="A52" s="1026">
        <f>IF(M52="k",RANK(B52,B$7:B$66,0),"")</f>
        <v>21</v>
      </c>
      <c r="B52" s="266">
        <f t="shared" si="9"/>
        <v>10008</v>
      </c>
      <c r="C52" s="944"/>
      <c r="D52" s="1029" t="str">
        <f>IF(J52="n",RANK(E52,E$7:E$66,0),"")</f>
        <v/>
      </c>
      <c r="E52" s="1028">
        <f t="shared" si="6"/>
        <v>0</v>
      </c>
      <c r="F52" s="1025" t="str">
        <f>IF(K52="j",RANK(G52,G$7:G$66,0),"")</f>
        <v/>
      </c>
      <c r="G52" s="266">
        <f t="shared" si="7"/>
        <v>0</v>
      </c>
      <c r="H52" s="209">
        <f>IF(N52&gt;0,RANK(Q52,Q$7:Q$66,1),"")</f>
        <v>46</v>
      </c>
      <c r="I52" s="626" t="s">
        <v>262</v>
      </c>
      <c r="J52" s="627"/>
      <c r="K52" s="629"/>
      <c r="L52" s="1382" t="s">
        <v>647</v>
      </c>
      <c r="M52" s="628" t="s">
        <v>187</v>
      </c>
      <c r="N52" s="1019">
        <f t="shared" si="10"/>
        <v>8</v>
      </c>
      <c r="O52" s="268" t="str">
        <f>INDEX(ETAPP!B$1:B$32,MATCH(COUNTIF(V52:AE52,PVO!A$1),ETAPP!A$1:A$32,0))&amp;INDEX(ETAPP!B$1:B$32,MATCH(COUNTIF(V52:AE52,PVO!A$2),ETAPP!A$1:A$32,0))&amp;INDEX(ETAPP!B$1:B$32,MATCH(COUNTIF(V52:AE52,PVO!A$3),ETAPP!A$1:A$32,0))&amp;INDEX(ETAPP!B$1:B$32,MATCH(COUNTIF(V52:AE52,PVO!A$4),ETAPP!A$1:A$32,0))&amp;INDEX(ETAPP!B$1:B$32,MATCH(COUNTIF(V52:AE52,PVO!A$5),ETAPP!A$1:A$32,0))&amp;INDEX(ETAPP!B$1:B$32,MATCH(COUNTIF(V52:AE52,PVO!A$6),ETAPP!A$1:A$32,0))&amp;INDEX(ETAPP!B$1:B$32,MATCH(COUNTIF(V52:AE52,PVO!A$7),ETAPP!A$1:A$32,0))&amp;INDEX(ETAPP!B$1:B$32,MATCH(COUNTIF(V52:AE52,PVO!A$8),ETAPP!A$1:A$32,0))&amp;INDEX(ETAPP!B$1:B$32,MATCH(COUNTIF(V52:AE52,PVO!A$9),ETAPP!A$1:A$32,0))&amp;INDEX(ETAPP!B$1:B$32,MATCH(COUNTIF(V52:AE52,PVO!A$10),ETAPP!A$1:A$32,0))&amp;INDEX(ETAPP!B$1:B$32,MATCH(COUNTIF(V52:AE52,PVO!A$11),ETAPP!A$1:A$32,0))&amp;INDEX(ETAPP!B$1:B$32,MATCH(COUNTIF(V52:AE52,PVO!A$12),ETAPP!A$1:A$32,0))&amp;INDEX(ETAPP!B$1:B$32,MATCH(COUNTIF(V52:AE52,PVO!A$13),ETAPP!A$1:A$32,0))&amp;INDEX(ETAPP!B$1:B$32,MATCH(COUNTIF(V52:AE52,PVO!A$14),ETAPP!A$1:A$32,0))&amp;INDEX(ETAPP!B$1:B$32,MATCH(COUNTIF(V52:AE52,PVO!A$15),ETAPP!A$1:A$32,0))&amp;INDEX(ETAPP!B$1:B$32,MATCH(COUNTIF(V52:AE52,PVO!A$16),ETAPP!A$1:A$32,0))&amp;INDEX(ETAPP!B$1:B$32,MATCH(COUNTIF(V52:AE52,PVO!A$17),ETAPP!A$1:A$32,0))&amp;INDEX(ETAPP!B$1:B$32,MATCH(COUNTIF(V52:AE52,PVO!A$18),ETAPP!A$1:A$32,0))&amp;INDEX(ETAPP!B$1:B$32,MATCH(COUNTIF(V52:AE52,PVO!A$19),ETAPP!A$1:A$32,0))&amp;INDEX(ETAPP!B$1:B$32,MATCH(COUNTIF(V52:AE52,PVO!A$20),ETAPP!A$1:A$32,0))&amp;INDEX(ETAPP!B$1:B$32,MATCH(COUNTIF(V52:AE52,PVO!A$21),ETAPP!A$1:A$32,0))&amp;INDEX(ETAPP!B$1:B$32,MATCH(COUNTIF(V52:AE52,PVO!A$22),ETAPP!A$1:A$32,0))</f>
        <v>000000000000A00000000D</v>
      </c>
      <c r="P52" s="268" t="str">
        <f t="shared" si="11"/>
        <v>008,0-000000000000A00000000D</v>
      </c>
      <c r="Q52" s="268">
        <f>COUNTIF(P$7:P$66,"&gt;="&amp;P52)</f>
        <v>46</v>
      </c>
      <c r="R52" s="268">
        <f>COUNTIF(I$7:I$66,"&gt;="&amp;I52)</f>
        <v>11</v>
      </c>
      <c r="S52" s="268" t="str">
        <f t="shared" si="12"/>
        <v>008,0-000000000000A00000000D-011</v>
      </c>
      <c r="T52" s="268">
        <f>COUNTIF(S$7:S$66,"&gt;="&amp;S52)</f>
        <v>46</v>
      </c>
      <c r="U52" s="832">
        <f>RANK(T52,T$7:T$66,0)</f>
        <v>15</v>
      </c>
      <c r="V52" s="210" t="str">
        <f>IFERROR(INDEX('V1'!C$300:C$400,MATCH("*"&amp;I52&amp;"*",'V1'!B$300:B$400,0)),"  ")</f>
        <v xml:space="preserve">  </v>
      </c>
      <c r="W52" s="210" t="str">
        <f>IFERROR(INDEX('V2'!C$300:C$400,MATCH("*"&amp;I52&amp;"*",'V2'!B$300:B$400,0)),"  ")</f>
        <v xml:space="preserve">  </v>
      </c>
      <c r="X52" s="210" t="str">
        <f>IFERROR(INDEX('V3'!C$300:C$400,MATCH("*"&amp;I52&amp;"*",'V3'!B$300:B$400,0)),"  ")</f>
        <v xml:space="preserve">  </v>
      </c>
      <c r="Y52" s="210" t="str">
        <f>IFERROR(INDEX('V4'!C$300:C$400,MATCH("*"&amp;I52&amp;"*",'V4'!B$300:B$400,0)),"  ")</f>
        <v xml:space="preserve">  </v>
      </c>
      <c r="Z52" s="210" t="str">
        <f>IFERROR(INDEX('V5'!C$300:C$400,MATCH("*"&amp;I52&amp;"*",'V5'!B$300:B$400,0)),"  ")</f>
        <v xml:space="preserve">  </v>
      </c>
      <c r="AA52" s="210" t="str">
        <f>IFERROR(INDEX('V6'!C$300:C$400,MATCH("*"&amp;I52&amp;"*",'V6'!B$300:B$400,0)),"  ")</f>
        <v xml:space="preserve">  </v>
      </c>
      <c r="AB52" s="210" t="str">
        <f>IFERROR(INDEX('V7'!C$300:C$400,MATCH("*"&amp;I52&amp;"*",'V7'!B$300:B$400,0)),"  ")</f>
        <v xml:space="preserve">  </v>
      </c>
      <c r="AC52" s="210" t="str">
        <f>IFERROR(INDEX('V8'!C$300:C$400,MATCH("*"&amp;I52&amp;"*",'V8'!B$300:B$400,0)),"  ")</f>
        <v xml:space="preserve">  </v>
      </c>
      <c r="AD52" s="210">
        <f>IFERROR(INDEX('V9'!C$300:C$400,MATCH("*"&amp;I52&amp;"*",'V9'!B$300:B$400,0)),"  ")</f>
        <v>8</v>
      </c>
      <c r="AE52" s="210" t="str">
        <f>IFERROR(INDEX('V10'!C$300:C$400,MATCH("*"&amp;I52&amp;"*",'V10'!B$300:B$400,0)),"  ")</f>
        <v xml:space="preserve">  </v>
      </c>
      <c r="AF52" s="211">
        <f t="shared" si="13"/>
        <v>0</v>
      </c>
      <c r="AG52" s="211" t="str">
        <f t="shared" si="8"/>
        <v/>
      </c>
      <c r="AH52" s="1362" t="str">
        <f>IFERROR(IF(COUNTIF(V52:AE52,"&gt;0")&gt;=3,"edasi ","puudu "&amp;3-COUNT(V52:AE52))&amp;IF(OR(COUNTIF(V52:AE52,"&gt;0")&lt;3,COUNTIF(AE$7:AE$66,"&gt;0")=0),"",RANK(AG52,AG$7:AG$66,0)),"")</f>
        <v>puudu 2</v>
      </c>
      <c r="AI52" s="959" t="str">
        <f>IFERROR(INDEX('V-Fin'!A$300:A$325,MATCH(I52,'V-Fin'!B$300:B$325,0)),"")</f>
        <v/>
      </c>
      <c r="AJ52" s="214">
        <f t="shared" si="14"/>
        <v>1</v>
      </c>
      <c r="AK52" s="212">
        <f>IFERROR(IF(V52+1&gt;LARGE(V$7:V$66,1)-2,1),0)+IFERROR(IF(W52+1&gt;LARGE(W$7:W$66,1)-2,1),0)+IFERROR(IF(X52+1&gt;LARGE(X$7:X$66,1)-2,1),0)+IFERROR(IF(Y52+1&gt;LARGE(Y$7:Y$66,1)-2,1),0)+IFERROR(IF(Z52+1&gt;LARGE(Z$7:Z$66,1)-2,1),0)+IFERROR(IF(AA52+1&gt;LARGE(AA$7:AA$66,1)-2,1),0)+IFERROR(IF(AB52+1&gt;LARGE(AB$7:AB$66,1)-2,1),0)+IFERROR(IF(AC52+1&gt;LARGE(AC$7:AC$66,1)-2,1),0)+IFERROR(IF(AD52+1&gt;LARGE(AD$7:AD$66,1)-2,1),0)+IFERROR(IF(AE52+1&gt;LARGE(AE$7:AE$66,1)-2,1),0)</f>
        <v>0</v>
      </c>
      <c r="AL52" s="212">
        <f>IF(V52=0,0,IF(V52=IFERROR(LARGE(V$7:V$66,1),0),1,0))+IF(W52=0,0,IF(W52=IFERROR(LARGE(W$7:W$66,1),0),1,0))+IF(X52=0,0,IF(X52=IFERROR(LARGE(X$7:X$66,1),0),1,0))+IF(Y52=0,0,IF(Y52=IFERROR(LARGE(Y$7:Y$66,1),0),1,0))+IF(Z52=0,0,IF(Z52=IFERROR(LARGE(Z$7:Z$66,1),0),1,0))+IF(AA52=0,0,IF(AA52=IFERROR(LARGE(AA$7:AA$66,1),0),1,0))+IF(AB52=0,0,IF(AB52=IFERROR(LARGE(AB$7:AB$66,1),0),1,0))+IF(AC52=0,0,IF(AC52=IFERROR(LARGE(AC$7:AC$66,1),0),1,0))+IF(AD52=0,0,IF(AD52=IFERROR(LARGE(AD$7:AD$66,1),0),1,0))+IF(AE52=0,0,IF(AE52=IFERROR(LARGE(AE$7:AE$66,1),0),1,0))</f>
        <v>0</v>
      </c>
    </row>
    <row r="53" spans="1:38" x14ac:dyDescent="0.2">
      <c r="A53" s="1026">
        <f>IF(M53="k",RANK(B53,B$7:B$66,0),"")</f>
        <v>21</v>
      </c>
      <c r="B53" s="266">
        <f t="shared" si="9"/>
        <v>10008</v>
      </c>
      <c r="C53" s="944"/>
      <c r="D53" s="1029" t="str">
        <f>IF(J53="n",RANK(E53,E$7:E$66,0),"")</f>
        <v/>
      </c>
      <c r="E53" s="1028">
        <f t="shared" si="6"/>
        <v>0</v>
      </c>
      <c r="F53" s="1025">
        <f>IF(K53="j",RANK(G53,G$7:G$66,0),"")</f>
        <v>5</v>
      </c>
      <c r="G53" s="266">
        <f t="shared" si="7"/>
        <v>10008</v>
      </c>
      <c r="H53" s="209">
        <f>IF(N53&gt;0,RANK(Q53,Q$7:Q$66,1),"")</f>
        <v>47</v>
      </c>
      <c r="I53" s="213" t="s">
        <v>615</v>
      </c>
      <c r="J53" s="269"/>
      <c r="K53" s="611" t="s">
        <v>138</v>
      </c>
      <c r="L53" s="1381"/>
      <c r="M53" s="274" t="s">
        <v>187</v>
      </c>
      <c r="N53" s="1019">
        <f t="shared" si="10"/>
        <v>8</v>
      </c>
      <c r="O53" s="268" t="str">
        <f>INDEX(ETAPP!B$1:B$32,MATCH(COUNTIF(V53:AE53,PVO!A$1),ETAPP!A$1:A$32,0))&amp;INDEX(ETAPP!B$1:B$32,MATCH(COUNTIF(V53:AE53,PVO!A$2),ETAPP!A$1:A$32,0))&amp;INDEX(ETAPP!B$1:B$32,MATCH(COUNTIF(V53:AE53,PVO!A$3),ETAPP!A$1:A$32,0))&amp;INDEX(ETAPP!B$1:B$32,MATCH(COUNTIF(V53:AE53,PVO!A$4),ETAPP!A$1:A$32,0))&amp;INDEX(ETAPP!B$1:B$32,MATCH(COUNTIF(V53:AE53,PVO!A$5),ETAPP!A$1:A$32,0))&amp;INDEX(ETAPP!B$1:B$32,MATCH(COUNTIF(V53:AE53,PVO!A$6),ETAPP!A$1:A$32,0))&amp;INDEX(ETAPP!B$1:B$32,MATCH(COUNTIF(V53:AE53,PVO!A$7),ETAPP!A$1:A$32,0))&amp;INDEX(ETAPP!B$1:B$32,MATCH(COUNTIF(V53:AE53,PVO!A$8),ETAPP!A$1:A$32,0))&amp;INDEX(ETAPP!B$1:B$32,MATCH(COUNTIF(V53:AE53,PVO!A$9),ETAPP!A$1:A$32,0))&amp;INDEX(ETAPP!B$1:B$32,MATCH(COUNTIF(V53:AE53,PVO!A$10),ETAPP!A$1:A$32,0))&amp;INDEX(ETAPP!B$1:B$32,MATCH(COUNTIF(V53:AE53,PVO!A$11),ETAPP!A$1:A$32,0))&amp;INDEX(ETAPP!B$1:B$32,MATCH(COUNTIF(V53:AE53,PVO!A$12),ETAPP!A$1:A$32,0))&amp;INDEX(ETAPP!B$1:B$32,MATCH(COUNTIF(V53:AE53,PVO!A$13),ETAPP!A$1:A$32,0))&amp;INDEX(ETAPP!B$1:B$32,MATCH(COUNTIF(V53:AE53,PVO!A$14),ETAPP!A$1:A$32,0))&amp;INDEX(ETAPP!B$1:B$32,MATCH(COUNTIF(V53:AE53,PVO!A$15),ETAPP!A$1:A$32,0))&amp;INDEX(ETAPP!B$1:B$32,MATCH(COUNTIF(V53:AE53,PVO!A$16),ETAPP!A$1:A$32,0))&amp;INDEX(ETAPP!B$1:B$32,MATCH(COUNTIF(V53:AE53,PVO!A$17),ETAPP!A$1:A$32,0))&amp;INDEX(ETAPP!B$1:B$32,MATCH(COUNTIF(V53:AE53,PVO!A$18),ETAPP!A$1:A$32,0))&amp;INDEX(ETAPP!B$1:B$32,MATCH(COUNTIF(V53:AE53,PVO!A$19),ETAPP!A$1:A$32,0))&amp;INDEX(ETAPP!B$1:B$32,MATCH(COUNTIF(V53:AE53,PVO!A$20),ETAPP!A$1:A$32,0))&amp;INDEX(ETAPP!B$1:B$32,MATCH(COUNTIF(V53:AE53,PVO!A$21),ETAPP!A$1:A$32,0))&amp;INDEX(ETAPP!B$1:B$32,MATCH(COUNTIF(V53:AE53,PVO!A$22),ETAPP!A$1:A$32,0))</f>
        <v>0000000000000A00000A0C</v>
      </c>
      <c r="P53" s="268" t="str">
        <f t="shared" si="11"/>
        <v>008,0-0000000000000A00000A0C</v>
      </c>
      <c r="Q53" s="268">
        <f>COUNTIF(P$7:P$66,"&gt;="&amp;P53)</f>
        <v>47</v>
      </c>
      <c r="R53" s="268">
        <f>COUNTIF(I$7:I$66,"&gt;="&amp;I53)</f>
        <v>16</v>
      </c>
      <c r="S53" s="268" t="str">
        <f t="shared" si="12"/>
        <v>008,0-0000000000000A00000A0C-016</v>
      </c>
      <c r="T53" s="268">
        <f>COUNTIF(S$7:S$66,"&gt;="&amp;S53)</f>
        <v>47</v>
      </c>
      <c r="U53" s="832">
        <f>RANK(T53,T$7:T$66,0)</f>
        <v>14</v>
      </c>
      <c r="V53" s="210" t="str">
        <f>IFERROR(INDEX('V1'!C$300:C$400,MATCH("*"&amp;I53&amp;"*",'V1'!B$300:B$400,0)),"  ")</f>
        <v xml:space="preserve">  </v>
      </c>
      <c r="W53" s="210" t="str">
        <f>IFERROR(INDEX('V2'!C$300:C$400,MATCH("*"&amp;I53&amp;"*",'V2'!B$300:B$400,0)),"  ")</f>
        <v xml:space="preserve">  </v>
      </c>
      <c r="X53" s="210" t="str">
        <f>IFERROR(INDEX('V3'!C$300:C$400,MATCH("*"&amp;I53&amp;"*",'V3'!B$300:B$400,0)),"  ")</f>
        <v xml:space="preserve">  </v>
      </c>
      <c r="Y53" s="210" t="str">
        <f>IFERROR(INDEX('V4'!C$300:C$400,MATCH("*"&amp;I53&amp;"*",'V4'!B$300:B$400,0)),"  ")</f>
        <v xml:space="preserve">  </v>
      </c>
      <c r="Z53" s="210" t="str">
        <f>IFERROR(INDEX('V5'!C$300:C$400,MATCH("*"&amp;I53&amp;"*",'V5'!B$300:B$400,0)),"  ")</f>
        <v xml:space="preserve">  </v>
      </c>
      <c r="AA53" s="210" t="str">
        <f>IFERROR(INDEX('V6'!C$300:C$400,MATCH("*"&amp;I53&amp;"*",'V6'!B$300:B$400,0)),"  ")</f>
        <v xml:space="preserve">  </v>
      </c>
      <c r="AB53" s="210" t="str">
        <f>IFERROR(INDEX('V7'!C$300:C$400,MATCH("*"&amp;I53&amp;"*",'V7'!B$300:B$400,0)),"  ")</f>
        <v xml:space="preserve">  </v>
      </c>
      <c r="AC53" s="210">
        <f>IFERROR(INDEX('V8'!C$300:C$400,MATCH("*"&amp;I53&amp;"*",'V8'!B$300:B$400,0)),"  ")</f>
        <v>1</v>
      </c>
      <c r="AD53" s="210">
        <f>IFERROR(INDEX('V9'!C$300:C$400,MATCH("*"&amp;I53&amp;"*",'V9'!B$300:B$400,0)),"  ")</f>
        <v>7</v>
      </c>
      <c r="AE53" s="210" t="str">
        <f>IFERROR(INDEX('V10'!C$300:C$400,MATCH("*"&amp;I53&amp;"*",'V10'!B$300:B$400,0)),"  ")</f>
        <v xml:space="preserve">  </v>
      </c>
      <c r="AF53" s="211">
        <f t="shared" si="13"/>
        <v>0</v>
      </c>
      <c r="AG53" s="211" t="str">
        <f t="shared" si="8"/>
        <v/>
      </c>
      <c r="AH53" s="1362" t="str">
        <f>IFERROR(IF(COUNTIF(V53:AE53,"&gt;0")&gt;=3,"edasi ","puudu "&amp;3-COUNT(V53:AE53))&amp;IF(OR(COUNTIF(V53:AE53,"&gt;0")&lt;3,COUNTIF(AE$7:AE$66,"&gt;0")=0),"",RANK(AG53,AG$7:AG$66,0)),"")</f>
        <v>puudu 1</v>
      </c>
      <c r="AI53" s="959" t="str">
        <f>IFERROR(INDEX('V-Fin'!A$300:A$325,MATCH(I53,'V-Fin'!B$300:B$325,0)),"")</f>
        <v/>
      </c>
      <c r="AJ53" s="214">
        <f t="shared" si="14"/>
        <v>2</v>
      </c>
      <c r="AK53" s="212">
        <f>IFERROR(IF(V53+1&gt;LARGE(V$7:V$66,1)-2,1),0)+IFERROR(IF(W53+1&gt;LARGE(W$7:W$66,1)-2,1),0)+IFERROR(IF(X53+1&gt;LARGE(X$7:X$66,1)-2,1),0)+IFERROR(IF(Y53+1&gt;LARGE(Y$7:Y$66,1)-2,1),0)+IFERROR(IF(Z53+1&gt;LARGE(Z$7:Z$66,1)-2,1),0)+IFERROR(IF(AA53+1&gt;LARGE(AA$7:AA$66,1)-2,1),0)+IFERROR(IF(AB53+1&gt;LARGE(AB$7:AB$66,1)-2,1),0)+IFERROR(IF(AC53+1&gt;LARGE(AC$7:AC$66,1)-2,1),0)+IFERROR(IF(AD53+1&gt;LARGE(AD$7:AD$66,1)-2,1),0)+IFERROR(IF(AE53+1&gt;LARGE(AE$7:AE$66,1)-2,1),0)</f>
        <v>0</v>
      </c>
      <c r="AL53" s="212">
        <f>IF(V53=0,0,IF(V53=IFERROR(LARGE(V$7:V$66,1),0),1,0))+IF(W53=0,0,IF(W53=IFERROR(LARGE(W$7:W$66,1),0),1,0))+IF(X53=0,0,IF(X53=IFERROR(LARGE(X$7:X$66,1),0),1,0))+IF(Y53=0,0,IF(Y53=IFERROR(LARGE(Y$7:Y$66,1),0),1,0))+IF(Z53=0,0,IF(Z53=IFERROR(LARGE(Z$7:Z$66,1),0),1,0))+IF(AA53=0,0,IF(AA53=IFERROR(LARGE(AA$7:AA$66,1),0),1,0))+IF(AB53=0,0,IF(AB53=IFERROR(LARGE(AB$7:AB$66,1),0),1,0))+IF(AC53=0,0,IF(AC53=IFERROR(LARGE(AC$7:AC$66,1),0),1,0))+IF(AD53=0,0,IF(AD53=IFERROR(LARGE(AD$7:AD$66,1),0),1,0))+IF(AE53=0,0,IF(AE53=IFERROR(LARGE(AE$7:AE$66,1),0),1,0))</f>
        <v>0</v>
      </c>
    </row>
    <row r="54" spans="1:38" x14ac:dyDescent="0.2">
      <c r="A54" s="1026" t="str">
        <f>IF(M54="k",RANK(B54,B$7:B$66,0),"")</f>
        <v/>
      </c>
      <c r="B54" s="266">
        <f t="shared" si="9"/>
        <v>0</v>
      </c>
      <c r="C54" s="944"/>
      <c r="D54" s="1029">
        <f>IF(J54="n",RANK(E54,E$7:E$66,0),"")</f>
        <v>8</v>
      </c>
      <c r="E54" s="1028">
        <f t="shared" si="6"/>
        <v>10007</v>
      </c>
      <c r="F54" s="1025" t="str">
        <f>IF(K54="j",RANK(G54,G$7:G$66,0),"")</f>
        <v/>
      </c>
      <c r="G54" s="266">
        <f t="shared" si="7"/>
        <v>0</v>
      </c>
      <c r="H54" s="209">
        <f>IF(N54&gt;0,RANK(Q54,Q$7:Q$66,1),"")</f>
        <v>48</v>
      </c>
      <c r="I54" s="213" t="s">
        <v>127</v>
      </c>
      <c r="J54" s="269" t="s">
        <v>137</v>
      </c>
      <c r="K54" s="270"/>
      <c r="L54" s="1381"/>
      <c r="M54" s="274"/>
      <c r="N54" s="1019">
        <f t="shared" si="10"/>
        <v>7</v>
      </c>
      <c r="O54" s="268" t="str">
        <f>INDEX(ETAPP!B$1:B$32,MATCH(COUNTIF(V54:AE54,PVO!A$1),ETAPP!A$1:A$32,0))&amp;INDEX(ETAPP!B$1:B$32,MATCH(COUNTIF(V54:AE54,PVO!A$2),ETAPP!A$1:A$32,0))&amp;INDEX(ETAPP!B$1:B$32,MATCH(COUNTIF(V54:AE54,PVO!A$3),ETAPP!A$1:A$32,0))&amp;INDEX(ETAPP!B$1:B$32,MATCH(COUNTIF(V54:AE54,PVO!A$4),ETAPP!A$1:A$32,0))&amp;INDEX(ETAPP!B$1:B$32,MATCH(COUNTIF(V54:AE54,PVO!A$5),ETAPP!A$1:A$32,0))&amp;INDEX(ETAPP!B$1:B$32,MATCH(COUNTIF(V54:AE54,PVO!A$6),ETAPP!A$1:A$32,0))&amp;INDEX(ETAPP!B$1:B$32,MATCH(COUNTIF(V54:AE54,PVO!A$7),ETAPP!A$1:A$32,0))&amp;INDEX(ETAPP!B$1:B$32,MATCH(COUNTIF(V54:AE54,PVO!A$8),ETAPP!A$1:A$32,0))&amp;INDEX(ETAPP!B$1:B$32,MATCH(COUNTIF(V54:AE54,PVO!A$9),ETAPP!A$1:A$32,0))&amp;INDEX(ETAPP!B$1:B$32,MATCH(COUNTIF(V54:AE54,PVO!A$10),ETAPP!A$1:A$32,0))&amp;INDEX(ETAPP!B$1:B$32,MATCH(COUNTIF(V54:AE54,PVO!A$11),ETAPP!A$1:A$32,0))&amp;INDEX(ETAPP!B$1:B$32,MATCH(COUNTIF(V54:AE54,PVO!A$12),ETAPP!A$1:A$32,0))&amp;INDEX(ETAPP!B$1:B$32,MATCH(COUNTIF(V54:AE54,PVO!A$13),ETAPP!A$1:A$32,0))&amp;INDEX(ETAPP!B$1:B$32,MATCH(COUNTIF(V54:AE54,PVO!A$14),ETAPP!A$1:A$32,0))&amp;INDEX(ETAPP!B$1:B$32,MATCH(COUNTIF(V54:AE54,PVO!A$15),ETAPP!A$1:A$32,0))&amp;INDEX(ETAPP!B$1:B$32,MATCH(COUNTIF(V54:AE54,PVO!A$16),ETAPP!A$1:A$32,0))&amp;INDEX(ETAPP!B$1:B$32,MATCH(COUNTIF(V54:AE54,PVO!A$17),ETAPP!A$1:A$32,0))&amp;INDEX(ETAPP!B$1:B$32,MATCH(COUNTIF(V54:AE54,PVO!A$18),ETAPP!A$1:A$32,0))&amp;INDEX(ETAPP!B$1:B$32,MATCH(COUNTIF(V54:AE54,PVO!A$19),ETAPP!A$1:A$32,0))&amp;INDEX(ETAPP!B$1:B$32,MATCH(COUNTIF(V54:AE54,PVO!A$20),ETAPP!A$1:A$32,0))&amp;INDEX(ETAPP!B$1:B$32,MATCH(COUNTIF(V54:AE54,PVO!A$21),ETAPP!A$1:A$32,0))&amp;INDEX(ETAPP!B$1:B$32,MATCH(COUNTIF(V54:AE54,PVO!A$22),ETAPP!A$1:A$32,0))</f>
        <v>0000000000000A0000000D</v>
      </c>
      <c r="P54" s="268" t="str">
        <f t="shared" si="11"/>
        <v>007,0-0000000000000A0000000D</v>
      </c>
      <c r="Q54" s="268">
        <f>COUNTIF(P$7:P$66,"&gt;="&amp;P54)</f>
        <v>48</v>
      </c>
      <c r="R54" s="268">
        <f>COUNTIF(I$7:I$66,"&gt;="&amp;I54)</f>
        <v>33</v>
      </c>
      <c r="S54" s="268" t="str">
        <f t="shared" si="12"/>
        <v>007,0-0000000000000A0000000D-033</v>
      </c>
      <c r="T54" s="268">
        <f>COUNTIF(S$7:S$66,"&gt;="&amp;S54)</f>
        <v>48</v>
      </c>
      <c r="U54" s="832">
        <f>RANK(T54,T$7:T$66,0)</f>
        <v>13</v>
      </c>
      <c r="V54" s="210">
        <f>IFERROR(INDEX('V1'!C$300:C$400,MATCH("*"&amp;I54&amp;"*",'V1'!B$300:B$400,0)),"  ")</f>
        <v>7</v>
      </c>
      <c r="W54" s="210" t="str">
        <f>IFERROR(INDEX('V2'!C$300:C$400,MATCH("*"&amp;I54&amp;"*",'V2'!B$300:B$400,0)),"  ")</f>
        <v xml:space="preserve">  </v>
      </c>
      <c r="X54" s="210" t="str">
        <f>IFERROR(INDEX('V3'!C$300:C$400,MATCH("*"&amp;I54&amp;"*",'V3'!B$300:B$400,0)),"  ")</f>
        <v xml:space="preserve">  </v>
      </c>
      <c r="Y54" s="210" t="str">
        <f>IFERROR(INDEX('V4'!C$300:C$400,MATCH("*"&amp;I54&amp;"*",'V4'!B$300:B$400,0)),"  ")</f>
        <v xml:space="preserve">  </v>
      </c>
      <c r="Z54" s="210" t="str">
        <f>IFERROR(INDEX('V5'!C$300:C$400,MATCH("*"&amp;I54&amp;"*",'V5'!B$300:B$400,0)),"  ")</f>
        <v xml:space="preserve">  </v>
      </c>
      <c r="AA54" s="210" t="str">
        <f>IFERROR(INDEX('V6'!C$300:C$400,MATCH("*"&amp;I54&amp;"*",'V6'!B$300:B$400,0)),"  ")</f>
        <v xml:space="preserve">  </v>
      </c>
      <c r="AB54" s="210" t="str">
        <f>IFERROR(INDEX('V7'!C$300:C$400,MATCH("*"&amp;I54&amp;"*",'V7'!B$300:B$400,0)),"  ")</f>
        <v xml:space="preserve">  </v>
      </c>
      <c r="AC54" s="210" t="str">
        <f>IFERROR(INDEX('V8'!C$300:C$400,MATCH("*"&amp;I54&amp;"*",'V8'!B$300:B$400,0)),"  ")</f>
        <v xml:space="preserve">  </v>
      </c>
      <c r="AD54" s="210" t="str">
        <f>IFERROR(INDEX('V9'!C$300:C$400,MATCH("*"&amp;I54&amp;"*",'V9'!B$300:B$400,0)),"  ")</f>
        <v xml:space="preserve">  </v>
      </c>
      <c r="AE54" s="210" t="str">
        <f>IFERROR(INDEX('V10'!C$300:C$400,MATCH("*"&amp;I54&amp;"*",'V10'!B$300:B$400,0)),"  ")</f>
        <v xml:space="preserve">  </v>
      </c>
      <c r="AF54" s="211">
        <f t="shared" si="13"/>
        <v>0</v>
      </c>
      <c r="AG54" s="211" t="str">
        <f t="shared" si="8"/>
        <v/>
      </c>
      <c r="AH54" s="1362" t="str">
        <f>IFERROR(IF(COUNTIF(V54:AE54,"&gt;0")&gt;=3,"edasi ","puudu "&amp;3-COUNT(V54:AE54))&amp;IF(OR(COUNTIF(V54:AE54,"&gt;0")&lt;3,COUNTIF(AE$7:AE$66,"&gt;0")=0),"",RANK(AG54,AG$7:AG$66,0)),"")</f>
        <v>puudu 2</v>
      </c>
      <c r="AI54" s="959" t="str">
        <f>IFERROR(INDEX('V-Fin'!A$300:A$325,MATCH(I54,'V-Fin'!B$300:B$325,0)),"")</f>
        <v/>
      </c>
      <c r="AJ54" s="214">
        <f t="shared" si="14"/>
        <v>1</v>
      </c>
      <c r="AK54" s="212">
        <f>IFERROR(IF(V54+1&gt;LARGE(V$7:V$66,1)-2,1),0)+IFERROR(IF(W54+1&gt;LARGE(W$7:W$66,1)-2,1),0)+IFERROR(IF(X54+1&gt;LARGE(X$7:X$66,1)-2,1),0)+IFERROR(IF(Y54+1&gt;LARGE(Y$7:Y$66,1)-2,1),0)+IFERROR(IF(Z54+1&gt;LARGE(Z$7:Z$66,1)-2,1),0)+IFERROR(IF(AA54+1&gt;LARGE(AA$7:AA$66,1)-2,1),0)+IFERROR(IF(AB54+1&gt;LARGE(AB$7:AB$66,1)-2,1),0)+IFERROR(IF(AC54+1&gt;LARGE(AC$7:AC$66,1)-2,1),0)+IFERROR(IF(AD54+1&gt;LARGE(AD$7:AD$66,1)-2,1),0)+IFERROR(IF(AE54+1&gt;LARGE(AE$7:AE$66,1)-2,1),0)</f>
        <v>0</v>
      </c>
      <c r="AL54" s="212">
        <f>IF(V54=0,0,IF(V54=IFERROR(LARGE(V$7:V$66,1),0),1,0))+IF(W54=0,0,IF(W54=IFERROR(LARGE(W$7:W$66,1),0),1,0))+IF(X54=0,0,IF(X54=IFERROR(LARGE(X$7:X$66,1),0),1,0))+IF(Y54=0,0,IF(Y54=IFERROR(LARGE(Y$7:Y$66,1),0),1,0))+IF(Z54=0,0,IF(Z54=IFERROR(LARGE(Z$7:Z$66,1),0),1,0))+IF(AA54=0,0,IF(AA54=IFERROR(LARGE(AA$7:AA$66,1),0),1,0))+IF(AB54=0,0,IF(AB54=IFERROR(LARGE(AB$7:AB$66,1),0),1,0))+IF(AC54=0,0,IF(AC54=IFERROR(LARGE(AC$7:AC$66,1),0),1,0))+IF(AD54=0,0,IF(AD54=IFERROR(LARGE(AD$7:AD$66,1),0),1,0))+IF(AE54=0,0,IF(AE54=IFERROR(LARGE(AE$7:AE$66,1),0),1,0))</f>
        <v>0</v>
      </c>
    </row>
    <row r="55" spans="1:38" x14ac:dyDescent="0.2">
      <c r="A55" s="1026" t="str">
        <f>IF(M55="k",RANK(B55,B$7:B$66,0),"")</f>
        <v/>
      </c>
      <c r="B55" s="266">
        <f t="shared" si="9"/>
        <v>0</v>
      </c>
      <c r="C55" s="944"/>
      <c r="D55" s="1029" t="str">
        <f>IF(J55="n",RANK(E55,E$7:E$66,0),"")</f>
        <v/>
      </c>
      <c r="E55" s="1028">
        <f t="shared" si="6"/>
        <v>0</v>
      </c>
      <c r="F55" s="1025" t="str">
        <f>IF(K55="j",RANK(G55,G$7:G$66,0),"")</f>
        <v/>
      </c>
      <c r="G55" s="266">
        <f t="shared" si="7"/>
        <v>0</v>
      </c>
      <c r="H55" s="209">
        <f>IF(N55&gt;0,RANK(Q55,Q$7:Q$66,1),"")</f>
        <v>49</v>
      </c>
      <c r="I55" s="213" t="s">
        <v>118</v>
      </c>
      <c r="J55" s="269"/>
      <c r="K55" s="270"/>
      <c r="L55" s="1381"/>
      <c r="M55" s="274"/>
      <c r="N55" s="1019">
        <f t="shared" si="10"/>
        <v>6.5</v>
      </c>
      <c r="O55" s="268" t="str">
        <f>INDEX(ETAPP!B$1:B$32,MATCH(COUNTIF(V55:AE55,PVO!A$1),ETAPP!A$1:A$32,0))&amp;INDEX(ETAPP!B$1:B$32,MATCH(COUNTIF(V55:AE55,PVO!A$2),ETAPP!A$1:A$32,0))&amp;INDEX(ETAPP!B$1:B$32,MATCH(COUNTIF(V55:AE55,PVO!A$3),ETAPP!A$1:A$32,0))&amp;INDEX(ETAPP!B$1:B$32,MATCH(COUNTIF(V55:AE55,PVO!A$4),ETAPP!A$1:A$32,0))&amp;INDEX(ETAPP!B$1:B$32,MATCH(COUNTIF(V55:AE55,PVO!A$5),ETAPP!A$1:A$32,0))&amp;INDEX(ETAPP!B$1:B$32,MATCH(COUNTIF(V55:AE55,PVO!A$6),ETAPP!A$1:A$32,0))&amp;INDEX(ETAPP!B$1:B$32,MATCH(COUNTIF(V55:AE55,PVO!A$7),ETAPP!A$1:A$32,0))&amp;INDEX(ETAPP!B$1:B$32,MATCH(COUNTIF(V55:AE55,PVO!A$8),ETAPP!A$1:A$32,0))&amp;INDEX(ETAPP!B$1:B$32,MATCH(COUNTIF(V55:AE55,PVO!A$9),ETAPP!A$1:A$32,0))&amp;INDEX(ETAPP!B$1:B$32,MATCH(COUNTIF(V55:AE55,PVO!A$10),ETAPP!A$1:A$32,0))&amp;INDEX(ETAPP!B$1:B$32,MATCH(COUNTIF(V55:AE55,PVO!A$11),ETAPP!A$1:A$32,0))&amp;INDEX(ETAPP!B$1:B$32,MATCH(COUNTIF(V55:AE55,PVO!A$12),ETAPP!A$1:A$32,0))&amp;INDEX(ETAPP!B$1:B$32,MATCH(COUNTIF(V55:AE55,PVO!A$13),ETAPP!A$1:A$32,0))&amp;INDEX(ETAPP!B$1:B$32,MATCH(COUNTIF(V55:AE55,PVO!A$14),ETAPP!A$1:A$32,0))&amp;INDEX(ETAPP!B$1:B$32,MATCH(COUNTIF(V55:AE55,PVO!A$15),ETAPP!A$1:A$32,0))&amp;INDEX(ETAPP!B$1:B$32,MATCH(COUNTIF(V55:AE55,PVO!A$16),ETAPP!A$1:A$32,0))&amp;INDEX(ETAPP!B$1:B$32,MATCH(COUNTIF(V55:AE55,PVO!A$17),ETAPP!A$1:A$32,0))&amp;INDEX(ETAPP!B$1:B$32,MATCH(COUNTIF(V55:AE55,PVO!A$18),ETAPP!A$1:A$32,0))&amp;INDEX(ETAPP!B$1:B$32,MATCH(COUNTIF(V55:AE55,PVO!A$19),ETAPP!A$1:A$32,0))&amp;INDEX(ETAPP!B$1:B$32,MATCH(COUNTIF(V55:AE55,PVO!A$20),ETAPP!A$1:A$32,0))&amp;INDEX(ETAPP!B$1:B$32,MATCH(COUNTIF(V55:AE55,PVO!A$21),ETAPP!A$1:A$32,0))&amp;INDEX(ETAPP!B$1:B$32,MATCH(COUNTIF(V55:AE55,PVO!A$22),ETAPP!A$1:A$32,0))</f>
        <v>0000000000000000000A0C</v>
      </c>
      <c r="P55" s="268" t="str">
        <f t="shared" si="11"/>
        <v>006,5-0000000000000000000A0C</v>
      </c>
      <c r="Q55" s="268">
        <f>COUNTIF(P$7:P$66,"&gt;="&amp;P55)</f>
        <v>49</v>
      </c>
      <c r="R55" s="268">
        <f>COUNTIF(I$7:I$66,"&gt;="&amp;I55)</f>
        <v>51</v>
      </c>
      <c r="S55" s="268" t="str">
        <f t="shared" si="12"/>
        <v>006,5-0000000000000000000A0C-051</v>
      </c>
      <c r="T55" s="268">
        <f>COUNTIF(S$7:S$66,"&gt;="&amp;S55)</f>
        <v>49</v>
      </c>
      <c r="U55" s="832">
        <f>RANK(T55,T$7:T$66,0)</f>
        <v>12</v>
      </c>
      <c r="V55" s="210" t="str">
        <f>IFERROR(INDEX('V1'!C$300:C$400,MATCH("*"&amp;I55&amp;"*",'V1'!B$300:B$400,0)),"  ")</f>
        <v xml:space="preserve">  </v>
      </c>
      <c r="W55" s="210">
        <f>IFERROR(INDEX('V2'!C$300:C$400,MATCH("*"&amp;I55&amp;"*",'V2'!B$300:B$400,0)),"  ")</f>
        <v>5.5</v>
      </c>
      <c r="X55" s="210" t="str">
        <f>IFERROR(INDEX('V3'!C$300:C$400,MATCH("*"&amp;I55&amp;"*",'V3'!B$300:B$400,0)),"  ")</f>
        <v xml:space="preserve">  </v>
      </c>
      <c r="Y55" s="210" t="str">
        <f>IFERROR(INDEX('V4'!C$300:C$400,MATCH("*"&amp;I55&amp;"*",'V4'!B$300:B$400,0)),"  ")</f>
        <v xml:space="preserve">  </v>
      </c>
      <c r="Z55" s="210" t="str">
        <f>IFERROR(INDEX('V5'!C$300:C$400,MATCH("*"&amp;I55&amp;"*",'V5'!B$300:B$400,0)),"  ")</f>
        <v xml:space="preserve">  </v>
      </c>
      <c r="AA55" s="210" t="str">
        <f>IFERROR(INDEX('V6'!C$300:C$400,MATCH("*"&amp;I55&amp;"*",'V6'!B$300:B$400,0)),"  ")</f>
        <v xml:space="preserve">  </v>
      </c>
      <c r="AB55" s="210" t="str">
        <f>IFERROR(INDEX('V7'!C$300:C$400,MATCH("*"&amp;I55&amp;"*",'V7'!B$300:B$400,0)),"  ")</f>
        <v xml:space="preserve">  </v>
      </c>
      <c r="AC55" s="210" t="str">
        <f>IFERROR(INDEX('V8'!C$300:C$400,MATCH("*"&amp;I55&amp;"*",'V8'!B$300:B$400,0)),"  ")</f>
        <v xml:space="preserve">  </v>
      </c>
      <c r="AD55" s="210">
        <f>IFERROR(INDEX('V9'!C$300:C$400,MATCH("*"&amp;I55&amp;"*",'V9'!B$300:B$400,0)),"  ")</f>
        <v>1</v>
      </c>
      <c r="AE55" s="210" t="str">
        <f>IFERROR(INDEX('V10'!C$300:C$400,MATCH("*"&amp;I55&amp;"*",'V10'!B$300:B$400,0)),"  ")</f>
        <v xml:space="preserve">  </v>
      </c>
      <c r="AF55" s="211">
        <f t="shared" si="13"/>
        <v>0</v>
      </c>
      <c r="AG55" s="211" t="str">
        <f t="shared" si="8"/>
        <v/>
      </c>
      <c r="AH55" s="1362" t="str">
        <f>IFERROR(IF(COUNTIF(V55:AE55,"&gt;0")&gt;=3,"edasi ","puudu "&amp;3-COUNT(V55:AE55))&amp;IF(OR(COUNTIF(V55:AE55,"&gt;0")&lt;3,COUNTIF(AE$7:AE$66,"&gt;0")=0),"",RANK(AG55,AG$7:AG$66,0)),"")</f>
        <v>puudu 1</v>
      </c>
      <c r="AI55" s="959" t="str">
        <f>IFERROR(INDEX('V-Fin'!A$300:A$325,MATCH(I55,'V-Fin'!B$300:B$325,0)),"")</f>
        <v/>
      </c>
      <c r="AJ55" s="214">
        <f t="shared" si="14"/>
        <v>2</v>
      </c>
      <c r="AK55" s="212">
        <f>IFERROR(IF(V55+1&gt;LARGE(V$7:V$66,1)-2,1),0)+IFERROR(IF(W55+1&gt;LARGE(W$7:W$66,1)-2,1),0)+IFERROR(IF(X55+1&gt;LARGE(X$7:X$66,1)-2,1),0)+IFERROR(IF(Y55+1&gt;LARGE(Y$7:Y$66,1)-2,1),0)+IFERROR(IF(Z55+1&gt;LARGE(Z$7:Z$66,1)-2,1),0)+IFERROR(IF(AA55+1&gt;LARGE(AA$7:AA$66,1)-2,1),0)+IFERROR(IF(AB55+1&gt;LARGE(AB$7:AB$66,1)-2,1),0)+IFERROR(IF(AC55+1&gt;LARGE(AC$7:AC$66,1)-2,1),0)+IFERROR(IF(AD55+1&gt;LARGE(AD$7:AD$66,1)-2,1),0)+IFERROR(IF(AE55+1&gt;LARGE(AE$7:AE$66,1)-2,1),0)</f>
        <v>0</v>
      </c>
      <c r="AL55" s="212">
        <f>IF(V55=0,0,IF(V55=IFERROR(LARGE(V$7:V$66,1),0),1,0))+IF(W55=0,0,IF(W55=IFERROR(LARGE(W$7:W$66,1),0),1,0))+IF(X55=0,0,IF(X55=IFERROR(LARGE(X$7:X$66,1),0),1,0))+IF(Y55=0,0,IF(Y55=IFERROR(LARGE(Y$7:Y$66,1),0),1,0))+IF(Z55=0,0,IF(Z55=IFERROR(LARGE(Z$7:Z$66,1),0),1,0))+IF(AA55=0,0,IF(AA55=IFERROR(LARGE(AA$7:AA$66,1),0),1,0))+IF(AB55=0,0,IF(AB55=IFERROR(LARGE(AB$7:AB$66,1),0),1,0))+IF(AC55=0,0,IF(AC55=IFERROR(LARGE(AC$7:AC$66,1),0),1,0))+IF(AD55=0,0,IF(AD55=IFERROR(LARGE(AD$7:AD$66,1),0),1,0))+IF(AE55=0,0,IF(AE55=IFERROR(LARGE(AE$7:AE$66,1),0),1,0))</f>
        <v>0</v>
      </c>
    </row>
    <row r="56" spans="1:38" x14ac:dyDescent="0.2">
      <c r="A56" s="1026" t="str">
        <f>IF(M56="k",RANK(B56,B$7:B$66,0),"")</f>
        <v/>
      </c>
      <c r="B56" s="266">
        <f t="shared" si="9"/>
        <v>0</v>
      </c>
      <c r="C56" s="944"/>
      <c r="D56" s="1029" t="str">
        <f>IF(J56="n",RANK(E56,E$7:E$66,0),"")</f>
        <v/>
      </c>
      <c r="E56" s="1028">
        <f t="shared" si="6"/>
        <v>0</v>
      </c>
      <c r="F56" s="1025" t="str">
        <f>IF(K56="j",RANK(G56,G$7:G$66,0),"")</f>
        <v/>
      </c>
      <c r="G56" s="266">
        <f t="shared" si="7"/>
        <v>0</v>
      </c>
      <c r="H56" s="209">
        <f>IF(N56&gt;0,RANK(Q56,Q$7:Q$66,1),"")</f>
        <v>50</v>
      </c>
      <c r="I56" s="213" t="s">
        <v>263</v>
      </c>
      <c r="J56" s="269"/>
      <c r="K56" s="270"/>
      <c r="L56" s="1381"/>
      <c r="M56" s="274"/>
      <c r="N56" s="1019">
        <f t="shared" si="10"/>
        <v>5</v>
      </c>
      <c r="O56" s="268" t="str">
        <f>INDEX(ETAPP!B$1:B$32,MATCH(COUNTIF(V56:AE56,PVO!A$1),ETAPP!A$1:A$32,0))&amp;INDEX(ETAPP!B$1:B$32,MATCH(COUNTIF(V56:AE56,PVO!A$2),ETAPP!A$1:A$32,0))&amp;INDEX(ETAPP!B$1:B$32,MATCH(COUNTIF(V56:AE56,PVO!A$3),ETAPP!A$1:A$32,0))&amp;INDEX(ETAPP!B$1:B$32,MATCH(COUNTIF(V56:AE56,PVO!A$4),ETAPP!A$1:A$32,0))&amp;INDEX(ETAPP!B$1:B$32,MATCH(COUNTIF(V56:AE56,PVO!A$5),ETAPP!A$1:A$32,0))&amp;INDEX(ETAPP!B$1:B$32,MATCH(COUNTIF(V56:AE56,PVO!A$6),ETAPP!A$1:A$32,0))&amp;INDEX(ETAPP!B$1:B$32,MATCH(COUNTIF(V56:AE56,PVO!A$7),ETAPP!A$1:A$32,0))&amp;INDEX(ETAPP!B$1:B$32,MATCH(COUNTIF(V56:AE56,PVO!A$8),ETAPP!A$1:A$32,0))&amp;INDEX(ETAPP!B$1:B$32,MATCH(COUNTIF(V56:AE56,PVO!A$9),ETAPP!A$1:A$32,0))&amp;INDEX(ETAPP!B$1:B$32,MATCH(COUNTIF(V56:AE56,PVO!A$10),ETAPP!A$1:A$32,0))&amp;INDEX(ETAPP!B$1:B$32,MATCH(COUNTIF(V56:AE56,PVO!A$11),ETAPP!A$1:A$32,0))&amp;INDEX(ETAPP!B$1:B$32,MATCH(COUNTIF(V56:AE56,PVO!A$12),ETAPP!A$1:A$32,0))&amp;INDEX(ETAPP!B$1:B$32,MATCH(COUNTIF(V56:AE56,PVO!A$13),ETAPP!A$1:A$32,0))&amp;INDEX(ETAPP!B$1:B$32,MATCH(COUNTIF(V56:AE56,PVO!A$14),ETAPP!A$1:A$32,0))&amp;INDEX(ETAPP!B$1:B$32,MATCH(COUNTIF(V56:AE56,PVO!A$15),ETAPP!A$1:A$32,0))&amp;INDEX(ETAPP!B$1:B$32,MATCH(COUNTIF(V56:AE56,PVO!A$16),ETAPP!A$1:A$32,0))&amp;INDEX(ETAPP!B$1:B$32,MATCH(COUNTIF(V56:AE56,PVO!A$17),ETAPP!A$1:A$32,0))&amp;INDEX(ETAPP!B$1:B$32,MATCH(COUNTIF(V56:AE56,PVO!A$18),ETAPP!A$1:A$32,0))&amp;INDEX(ETAPP!B$1:B$32,MATCH(COUNTIF(V56:AE56,PVO!A$19),ETAPP!A$1:A$32,0))&amp;INDEX(ETAPP!B$1:B$32,MATCH(COUNTIF(V56:AE56,PVO!A$20),ETAPP!A$1:A$32,0))&amp;INDEX(ETAPP!B$1:B$32,MATCH(COUNTIF(V56:AE56,PVO!A$21),ETAPP!A$1:A$32,0))&amp;INDEX(ETAPP!B$1:B$32,MATCH(COUNTIF(V56:AE56,PVO!A$22),ETAPP!A$1:A$32,0))</f>
        <v>000000000000000A00000D</v>
      </c>
      <c r="P56" s="268" t="str">
        <f t="shared" si="11"/>
        <v>005,0-000000000000000A00000D</v>
      </c>
      <c r="Q56" s="268">
        <f>COUNTIF(P$7:P$66,"&gt;="&amp;P56)</f>
        <v>51</v>
      </c>
      <c r="R56" s="268">
        <f>COUNTIF(I$7:I$66,"&gt;="&amp;I56)</f>
        <v>27</v>
      </c>
      <c r="S56" s="268" t="str">
        <f t="shared" si="12"/>
        <v>005,0-000000000000000A00000D-027</v>
      </c>
      <c r="T56" s="268">
        <f>COUNTIF(S$7:S$66,"&gt;="&amp;S56)</f>
        <v>50</v>
      </c>
      <c r="U56" s="832">
        <f>RANK(T56,T$7:T$66,0)</f>
        <v>11</v>
      </c>
      <c r="V56" s="210" t="str">
        <f>IFERROR(INDEX('V1'!C$300:C$400,MATCH("*"&amp;I56&amp;"*",'V1'!B$300:B$400,0)),"  ")</f>
        <v xml:space="preserve">  </v>
      </c>
      <c r="W56" s="210" t="str">
        <f>IFERROR(INDEX('V2'!C$300:C$400,MATCH("*"&amp;I56&amp;"*",'V2'!B$300:B$400,0)),"  ")</f>
        <v xml:space="preserve">  </v>
      </c>
      <c r="X56" s="210" t="str">
        <f>IFERROR(INDEX('V3'!C$300:C$400,MATCH("*"&amp;I56&amp;"*",'V3'!B$300:B$400,0)),"  ")</f>
        <v xml:space="preserve">  </v>
      </c>
      <c r="Y56" s="210" t="str">
        <f>IFERROR(INDEX('V4'!C$300:C$400,MATCH("*"&amp;I56&amp;"*",'V4'!B$300:B$400,0)),"  ")</f>
        <v xml:space="preserve">  </v>
      </c>
      <c r="Z56" s="210" t="str">
        <f>IFERROR(INDEX('V5'!C$300:C$400,MATCH("*"&amp;I56&amp;"*",'V5'!B$300:B$400,0)),"  ")</f>
        <v xml:space="preserve">  </v>
      </c>
      <c r="AA56" s="210">
        <f>IFERROR(INDEX('V6'!C$300:C$400,MATCH("*"&amp;I56&amp;"*",'V6'!B$300:B$400,0)),"  ")</f>
        <v>5</v>
      </c>
      <c r="AB56" s="210" t="str">
        <f>IFERROR(INDEX('V7'!C$300:C$400,MATCH("*"&amp;I56&amp;"*",'V7'!B$300:B$400,0)),"  ")</f>
        <v xml:space="preserve">  </v>
      </c>
      <c r="AC56" s="210" t="str">
        <f>IFERROR(INDEX('V8'!C$300:C$400,MATCH("*"&amp;I56&amp;"*",'V8'!B$300:B$400,0)),"  ")</f>
        <v xml:space="preserve">  </v>
      </c>
      <c r="AD56" s="210" t="str">
        <f>IFERROR(INDEX('V9'!C$300:C$400,MATCH("*"&amp;I56&amp;"*",'V9'!B$300:B$400,0)),"  ")</f>
        <v xml:space="preserve">  </v>
      </c>
      <c r="AE56" s="210" t="str">
        <f>IFERROR(INDEX('V10'!C$300:C$400,MATCH("*"&amp;I56&amp;"*",'V10'!B$300:B$400,0)),"  ")</f>
        <v xml:space="preserve">  </v>
      </c>
      <c r="AF56" s="211">
        <f t="shared" si="13"/>
        <v>0</v>
      </c>
      <c r="AG56" s="211" t="str">
        <f t="shared" si="8"/>
        <v/>
      </c>
      <c r="AH56" s="1362" t="str">
        <f>IFERROR(IF(COUNTIF(V56:AE56,"&gt;0")&gt;=3,"edasi ","puudu "&amp;3-COUNT(V56:AE56))&amp;IF(OR(COUNTIF(V56:AE56,"&gt;0")&lt;3,COUNTIF(AE$7:AE$66,"&gt;0")=0),"",RANK(AG56,AG$7:AG$66,0)),"")</f>
        <v>puudu 2</v>
      </c>
      <c r="AI56" s="959" t="str">
        <f>IFERROR(INDEX('V-Fin'!A$300:A$325,MATCH(I56,'V-Fin'!B$300:B$325,0)),"")</f>
        <v/>
      </c>
      <c r="AJ56" s="214">
        <f t="shared" si="14"/>
        <v>1</v>
      </c>
      <c r="AK56" s="212">
        <f>IFERROR(IF(V56+1&gt;LARGE(V$7:V$66,1)-2,1),0)+IFERROR(IF(W56+1&gt;LARGE(W$7:W$66,1)-2,1),0)+IFERROR(IF(X56+1&gt;LARGE(X$7:X$66,1)-2,1),0)+IFERROR(IF(Y56+1&gt;LARGE(Y$7:Y$66,1)-2,1),0)+IFERROR(IF(Z56+1&gt;LARGE(Z$7:Z$66,1)-2,1),0)+IFERROR(IF(AA56+1&gt;LARGE(AA$7:AA$66,1)-2,1),0)+IFERROR(IF(AB56+1&gt;LARGE(AB$7:AB$66,1)-2,1),0)+IFERROR(IF(AC56+1&gt;LARGE(AC$7:AC$66,1)-2,1),0)+IFERROR(IF(AD56+1&gt;LARGE(AD$7:AD$66,1)-2,1),0)+IFERROR(IF(AE56+1&gt;LARGE(AE$7:AE$66,1)-2,1),0)</f>
        <v>0</v>
      </c>
      <c r="AL56" s="212">
        <f>IF(V56=0,0,IF(V56=IFERROR(LARGE(V$7:V$66,1),0),1,0))+IF(W56=0,0,IF(W56=IFERROR(LARGE(W$7:W$66,1),0),1,0))+IF(X56=0,0,IF(X56=IFERROR(LARGE(X$7:X$66,1),0),1,0))+IF(Y56=0,0,IF(Y56=IFERROR(LARGE(Y$7:Y$66,1),0),1,0))+IF(Z56=0,0,IF(Z56=IFERROR(LARGE(Z$7:Z$66,1),0),1,0))+IF(AA56=0,0,IF(AA56=IFERROR(LARGE(AA$7:AA$66,1),0),1,0))+IF(AB56=0,0,IF(AB56=IFERROR(LARGE(AB$7:AB$66,1),0),1,0))+IF(AC56=0,0,IF(AC56=IFERROR(LARGE(AC$7:AC$66,1),0),1,0))+IF(AD56=0,0,IF(AD56=IFERROR(LARGE(AD$7:AD$66,1),0),1,0))+IF(AE56=0,0,IF(AE56=IFERROR(LARGE(AE$7:AE$66,1),0),1,0))</f>
        <v>0</v>
      </c>
    </row>
    <row r="57" spans="1:38" x14ac:dyDescent="0.2">
      <c r="A57" s="1026" t="str">
        <f>IF(M57="k",RANK(B57,B$7:B$66,0),"")</f>
        <v/>
      </c>
      <c r="B57" s="266">
        <f t="shared" si="9"/>
        <v>0</v>
      </c>
      <c r="C57" s="944"/>
      <c r="D57" s="1029" t="str">
        <f>IF(J57="n",RANK(E57,E$7:E$66,0),"")</f>
        <v/>
      </c>
      <c r="E57" s="1028">
        <f t="shared" si="6"/>
        <v>0</v>
      </c>
      <c r="F57" s="1025" t="str">
        <f>IF(K57="j",RANK(G57,G$7:G$66,0),"")</f>
        <v/>
      </c>
      <c r="G57" s="266">
        <f t="shared" si="7"/>
        <v>0</v>
      </c>
      <c r="H57" s="209">
        <f>IF(N57&gt;0,RANK(Q57,Q$7:Q$66,1),"")</f>
        <v>50</v>
      </c>
      <c r="I57" s="267" t="s">
        <v>100</v>
      </c>
      <c r="J57" s="269"/>
      <c r="K57" s="270"/>
      <c r="L57" s="1381"/>
      <c r="M57" s="274"/>
      <c r="N57" s="1019">
        <f t="shared" si="10"/>
        <v>5</v>
      </c>
      <c r="O57" s="268" t="str">
        <f>INDEX(ETAPP!B$1:B$32,MATCH(COUNTIF(V57:AE57,PVO!A$1),ETAPP!A$1:A$32,0))&amp;INDEX(ETAPP!B$1:B$32,MATCH(COUNTIF(V57:AE57,PVO!A$2),ETAPP!A$1:A$32,0))&amp;INDEX(ETAPP!B$1:B$32,MATCH(COUNTIF(V57:AE57,PVO!A$3),ETAPP!A$1:A$32,0))&amp;INDEX(ETAPP!B$1:B$32,MATCH(COUNTIF(V57:AE57,PVO!A$4),ETAPP!A$1:A$32,0))&amp;INDEX(ETAPP!B$1:B$32,MATCH(COUNTIF(V57:AE57,PVO!A$5),ETAPP!A$1:A$32,0))&amp;INDEX(ETAPP!B$1:B$32,MATCH(COUNTIF(V57:AE57,PVO!A$6),ETAPP!A$1:A$32,0))&amp;INDEX(ETAPP!B$1:B$32,MATCH(COUNTIF(V57:AE57,PVO!A$7),ETAPP!A$1:A$32,0))&amp;INDEX(ETAPP!B$1:B$32,MATCH(COUNTIF(V57:AE57,PVO!A$8),ETAPP!A$1:A$32,0))&amp;INDEX(ETAPP!B$1:B$32,MATCH(COUNTIF(V57:AE57,PVO!A$9),ETAPP!A$1:A$32,0))&amp;INDEX(ETAPP!B$1:B$32,MATCH(COUNTIF(V57:AE57,PVO!A$10),ETAPP!A$1:A$32,0))&amp;INDEX(ETAPP!B$1:B$32,MATCH(COUNTIF(V57:AE57,PVO!A$11),ETAPP!A$1:A$32,0))&amp;INDEX(ETAPP!B$1:B$32,MATCH(COUNTIF(V57:AE57,PVO!A$12),ETAPP!A$1:A$32,0))&amp;INDEX(ETAPP!B$1:B$32,MATCH(COUNTIF(V57:AE57,PVO!A$13),ETAPP!A$1:A$32,0))&amp;INDEX(ETAPP!B$1:B$32,MATCH(COUNTIF(V57:AE57,PVO!A$14),ETAPP!A$1:A$32,0))&amp;INDEX(ETAPP!B$1:B$32,MATCH(COUNTIF(V57:AE57,PVO!A$15),ETAPP!A$1:A$32,0))&amp;INDEX(ETAPP!B$1:B$32,MATCH(COUNTIF(V57:AE57,PVO!A$16),ETAPP!A$1:A$32,0))&amp;INDEX(ETAPP!B$1:B$32,MATCH(COUNTIF(V57:AE57,PVO!A$17),ETAPP!A$1:A$32,0))&amp;INDEX(ETAPP!B$1:B$32,MATCH(COUNTIF(V57:AE57,PVO!A$18),ETAPP!A$1:A$32,0))&amp;INDEX(ETAPP!B$1:B$32,MATCH(COUNTIF(V57:AE57,PVO!A$19),ETAPP!A$1:A$32,0))&amp;INDEX(ETAPP!B$1:B$32,MATCH(COUNTIF(V57:AE57,PVO!A$20),ETAPP!A$1:A$32,0))&amp;INDEX(ETAPP!B$1:B$32,MATCH(COUNTIF(V57:AE57,PVO!A$21),ETAPP!A$1:A$32,0))&amp;INDEX(ETAPP!B$1:B$32,MATCH(COUNTIF(V57:AE57,PVO!A$22),ETAPP!A$1:A$32,0))</f>
        <v>000000000000000A00000D</v>
      </c>
      <c r="P57" s="268" t="str">
        <f t="shared" si="11"/>
        <v>005,0-000000000000000A00000D</v>
      </c>
      <c r="Q57" s="268">
        <f>COUNTIF(P$7:P$66,"&gt;="&amp;P57)</f>
        <v>51</v>
      </c>
      <c r="R57" s="268">
        <f>COUNTIF(I$7:I$66,"&gt;="&amp;I57)</f>
        <v>5</v>
      </c>
      <c r="S57" s="268" t="str">
        <f t="shared" si="12"/>
        <v>005,0-000000000000000A00000D-005</v>
      </c>
      <c r="T57" s="268">
        <f>COUNTIF(S$7:S$66,"&gt;="&amp;S57)</f>
        <v>51</v>
      </c>
      <c r="U57" s="832">
        <f>RANK(T57,T$7:T$66,0)</f>
        <v>10</v>
      </c>
      <c r="V57" s="210" t="str">
        <f>IFERROR(INDEX('V1'!C$300:C$400,MATCH("*"&amp;I57&amp;"*",'V1'!B$300:B$400,0)),"  ")</f>
        <v xml:space="preserve">  </v>
      </c>
      <c r="W57" s="210" t="str">
        <f>IFERROR(INDEX('V2'!C$300:C$400,MATCH("*"&amp;I57&amp;"*",'V2'!B$300:B$400,0)),"  ")</f>
        <v xml:space="preserve">  </v>
      </c>
      <c r="X57" s="210" t="str">
        <f>IFERROR(INDEX('V3'!C$300:C$400,MATCH("*"&amp;I57&amp;"*",'V3'!B$300:B$400,0)),"  ")</f>
        <v xml:space="preserve">  </v>
      </c>
      <c r="Y57" s="210" t="str">
        <f>IFERROR(INDEX('V4'!C$300:C$400,MATCH("*"&amp;I57&amp;"*",'V4'!B$300:B$400,0)),"  ")</f>
        <v xml:space="preserve">  </v>
      </c>
      <c r="Z57" s="210" t="str">
        <f>IFERROR(INDEX('V5'!C$300:C$400,MATCH("*"&amp;I57&amp;"*",'V5'!B$300:B$400,0)),"  ")</f>
        <v xml:space="preserve">  </v>
      </c>
      <c r="AA57" s="210">
        <f>IFERROR(INDEX('V6'!C$300:C$400,MATCH("*"&amp;I57&amp;"*",'V6'!B$300:B$400,0)),"  ")</f>
        <v>5</v>
      </c>
      <c r="AB57" s="210" t="str">
        <f>IFERROR(INDEX('V7'!C$300:C$400,MATCH("*"&amp;I57&amp;"*",'V7'!B$300:B$400,0)),"  ")</f>
        <v xml:space="preserve">  </v>
      </c>
      <c r="AC57" s="210" t="str">
        <f>IFERROR(INDEX('V8'!C$300:C$400,MATCH("*"&amp;I57&amp;"*",'V8'!B$300:B$400,0)),"  ")</f>
        <v xml:space="preserve">  </v>
      </c>
      <c r="AD57" s="210" t="str">
        <f>IFERROR(INDEX('V9'!C$300:C$400,MATCH("*"&amp;I57&amp;"*",'V9'!B$300:B$400,0)),"  ")</f>
        <v xml:space="preserve">  </v>
      </c>
      <c r="AE57" s="210" t="str">
        <f>IFERROR(INDEX('V10'!C$300:C$400,MATCH("*"&amp;I57&amp;"*",'V10'!B$300:B$400,0)),"  ")</f>
        <v xml:space="preserve">  </v>
      </c>
      <c r="AF57" s="211">
        <f t="shared" si="13"/>
        <v>0</v>
      </c>
      <c r="AG57" s="211" t="str">
        <f t="shared" si="8"/>
        <v/>
      </c>
      <c r="AH57" s="1362" t="str">
        <f>IFERROR(IF(COUNTIF(V57:AE57,"&gt;0")&gt;=3,"edasi ","puudu "&amp;3-COUNT(V57:AE57))&amp;IF(OR(COUNTIF(V57:AE57,"&gt;0")&lt;3,COUNTIF(AE$7:AE$66,"&gt;0")=0),"",RANK(AG57,AG$7:AG$66,0)),"")</f>
        <v>puudu 2</v>
      </c>
      <c r="AI57" s="959" t="str">
        <f>IFERROR(INDEX('V-Fin'!A$300:A$325,MATCH(I57,'V-Fin'!B$300:B$325,0)),"")</f>
        <v/>
      </c>
      <c r="AJ57" s="214">
        <f t="shared" si="14"/>
        <v>1</v>
      </c>
      <c r="AK57" s="212">
        <f>IFERROR(IF(V57+1&gt;LARGE(V$7:V$66,1)-2,1),0)+IFERROR(IF(W57+1&gt;LARGE(W$7:W$66,1)-2,1),0)+IFERROR(IF(X57+1&gt;LARGE(X$7:X$66,1)-2,1),0)+IFERROR(IF(Y57+1&gt;LARGE(Y$7:Y$66,1)-2,1),0)+IFERROR(IF(Z57+1&gt;LARGE(Z$7:Z$66,1)-2,1),0)+IFERROR(IF(AA57+1&gt;LARGE(AA$7:AA$66,1)-2,1),0)+IFERROR(IF(AB57+1&gt;LARGE(AB$7:AB$66,1)-2,1),0)+IFERROR(IF(AC57+1&gt;LARGE(AC$7:AC$66,1)-2,1),0)+IFERROR(IF(AD57+1&gt;LARGE(AD$7:AD$66,1)-2,1),0)+IFERROR(IF(AE57+1&gt;LARGE(AE$7:AE$66,1)-2,1),0)</f>
        <v>0</v>
      </c>
      <c r="AL57" s="212">
        <f>IF(V57=0,0,IF(V57=IFERROR(LARGE(V$7:V$66,1),0),1,0))+IF(W57=0,0,IF(W57=IFERROR(LARGE(W$7:W$66,1),0),1,0))+IF(X57=0,0,IF(X57=IFERROR(LARGE(X$7:X$66,1),0),1,0))+IF(Y57=0,0,IF(Y57=IFERROR(LARGE(Y$7:Y$66,1),0),1,0))+IF(Z57=0,0,IF(Z57=IFERROR(LARGE(Z$7:Z$66,1),0),1,0))+IF(AA57=0,0,IF(AA57=IFERROR(LARGE(AA$7:AA$66,1),0),1,0))+IF(AB57=0,0,IF(AB57=IFERROR(LARGE(AB$7:AB$66,1),0),1,0))+IF(AC57=0,0,IF(AC57=IFERROR(LARGE(AC$7:AC$66,1),0),1,0))+IF(AD57=0,0,IF(AD57=IFERROR(LARGE(AD$7:AD$66,1),0),1,0))+IF(AE57=0,0,IF(AE57=IFERROR(LARGE(AE$7:AE$66,1),0),1,0))</f>
        <v>0</v>
      </c>
    </row>
    <row r="58" spans="1:38" x14ac:dyDescent="0.2">
      <c r="A58" s="1026" t="str">
        <f>IF(M58="k",RANK(B58,B$7:B$66,0),"")</f>
        <v/>
      </c>
      <c r="B58" s="266">
        <f t="shared" si="9"/>
        <v>0</v>
      </c>
      <c r="C58" s="944"/>
      <c r="D58" s="1029">
        <f>IF(J58="n",RANK(E58,E$7:E$66,0),"")</f>
        <v>9</v>
      </c>
      <c r="E58" s="1028">
        <f t="shared" si="6"/>
        <v>10004.5</v>
      </c>
      <c r="F58" s="1025" t="str">
        <f>IF(K58="j",RANK(G58,G$7:G$66,0),"")</f>
        <v/>
      </c>
      <c r="G58" s="266">
        <f t="shared" si="7"/>
        <v>0</v>
      </c>
      <c r="H58" s="209">
        <f>IF(N58&gt;0,RANK(Q58,Q$7:Q$66,1),"")</f>
        <v>52</v>
      </c>
      <c r="I58" s="630" t="s">
        <v>614</v>
      </c>
      <c r="J58" s="627" t="s">
        <v>137</v>
      </c>
      <c r="K58" s="780"/>
      <c r="L58" s="1381"/>
      <c r="M58" s="628"/>
      <c r="N58" s="1019">
        <f t="shared" si="10"/>
        <v>4.5</v>
      </c>
      <c r="O58" s="268" t="str">
        <f>INDEX(ETAPP!B$1:B$32,MATCH(COUNTIF(V58:AE58,PVO!A$1),ETAPP!A$1:A$32,0))&amp;INDEX(ETAPP!B$1:B$32,MATCH(COUNTIF(V58:AE58,PVO!A$2),ETAPP!A$1:A$32,0))&amp;INDEX(ETAPP!B$1:B$32,MATCH(COUNTIF(V58:AE58,PVO!A$3),ETAPP!A$1:A$32,0))&amp;INDEX(ETAPP!B$1:B$32,MATCH(COUNTIF(V58:AE58,PVO!A$4),ETAPP!A$1:A$32,0))&amp;INDEX(ETAPP!B$1:B$32,MATCH(COUNTIF(V58:AE58,PVO!A$5),ETAPP!A$1:A$32,0))&amp;INDEX(ETAPP!B$1:B$32,MATCH(COUNTIF(V58:AE58,PVO!A$6),ETAPP!A$1:A$32,0))&amp;INDEX(ETAPP!B$1:B$32,MATCH(COUNTIF(V58:AE58,PVO!A$7),ETAPP!A$1:A$32,0))&amp;INDEX(ETAPP!B$1:B$32,MATCH(COUNTIF(V58:AE58,PVO!A$8),ETAPP!A$1:A$32,0))&amp;INDEX(ETAPP!B$1:B$32,MATCH(COUNTIF(V58:AE58,PVO!A$9),ETAPP!A$1:A$32,0))&amp;INDEX(ETAPP!B$1:B$32,MATCH(COUNTIF(V58:AE58,PVO!A$10),ETAPP!A$1:A$32,0))&amp;INDEX(ETAPP!B$1:B$32,MATCH(COUNTIF(V58:AE58,PVO!A$11),ETAPP!A$1:A$32,0))&amp;INDEX(ETAPP!B$1:B$32,MATCH(COUNTIF(V58:AE58,PVO!A$12),ETAPP!A$1:A$32,0))&amp;INDEX(ETAPP!B$1:B$32,MATCH(COUNTIF(V58:AE58,PVO!A$13),ETAPP!A$1:A$32,0))&amp;INDEX(ETAPP!B$1:B$32,MATCH(COUNTIF(V58:AE58,PVO!A$14),ETAPP!A$1:A$32,0))&amp;INDEX(ETAPP!B$1:B$32,MATCH(COUNTIF(V58:AE58,PVO!A$15),ETAPP!A$1:A$32,0))&amp;INDEX(ETAPP!B$1:B$32,MATCH(COUNTIF(V58:AE58,PVO!A$16),ETAPP!A$1:A$32,0))&amp;INDEX(ETAPP!B$1:B$32,MATCH(COUNTIF(V58:AE58,PVO!A$17),ETAPP!A$1:A$32,0))&amp;INDEX(ETAPP!B$1:B$32,MATCH(COUNTIF(V58:AE58,PVO!A$18),ETAPP!A$1:A$32,0))&amp;INDEX(ETAPP!B$1:B$32,MATCH(COUNTIF(V58:AE58,PVO!A$19),ETAPP!A$1:A$32,0))&amp;INDEX(ETAPP!B$1:B$32,MATCH(COUNTIF(V58:AE58,PVO!A$20),ETAPP!A$1:A$32,0))&amp;INDEX(ETAPP!B$1:B$32,MATCH(COUNTIF(V58:AE58,PVO!A$21),ETAPP!A$1:A$32,0))&amp;INDEX(ETAPP!B$1:B$32,MATCH(COUNTIF(V58:AE58,PVO!A$22),ETAPP!A$1:A$32,0))</f>
        <v>000000000000000000000D</v>
      </c>
      <c r="P58" s="268" t="str">
        <f t="shared" si="11"/>
        <v>004,5-000000000000000000000D</v>
      </c>
      <c r="Q58" s="268">
        <f>COUNTIF(P$7:P$66,"&gt;="&amp;P58)</f>
        <v>52</v>
      </c>
      <c r="R58" s="268">
        <f>COUNTIF(I$7:I$66,"&gt;="&amp;I58)</f>
        <v>23</v>
      </c>
      <c r="S58" s="268" t="str">
        <f t="shared" si="12"/>
        <v>004,5-000000000000000000000D-023</v>
      </c>
      <c r="T58" s="268">
        <f>COUNTIF(S$7:S$66,"&gt;="&amp;S58)</f>
        <v>52</v>
      </c>
      <c r="U58" s="832">
        <f>RANK(T58,T$7:T$66,0)</f>
        <v>9</v>
      </c>
      <c r="V58" s="210" t="str">
        <f>IFERROR(INDEX('V1'!C$300:C$400,MATCH("*"&amp;I58&amp;"*",'V1'!B$300:B$400,0)),"  ")</f>
        <v xml:space="preserve">  </v>
      </c>
      <c r="W58" s="210" t="str">
        <f>IFERROR(INDEX('V2'!C$300:C$400,MATCH("*"&amp;I58&amp;"*",'V2'!B$300:B$400,0)),"  ")</f>
        <v xml:space="preserve">  </v>
      </c>
      <c r="X58" s="210" t="str">
        <f>IFERROR(INDEX('V3'!C$300:C$400,MATCH("*"&amp;I58&amp;"*",'V3'!B$300:B$400,0)),"  ")</f>
        <v xml:space="preserve">  </v>
      </c>
      <c r="Y58" s="210" t="str">
        <f>IFERROR(INDEX('V4'!C$300:C$400,MATCH("*"&amp;I58&amp;"*",'V4'!B$300:B$400,0)),"  ")</f>
        <v xml:space="preserve">  </v>
      </c>
      <c r="Z58" s="210" t="str">
        <f>IFERROR(INDEX('V5'!C$300:C$400,MATCH("*"&amp;I58&amp;"*",'V5'!B$300:B$400,0)),"  ")</f>
        <v xml:space="preserve">  </v>
      </c>
      <c r="AA58" s="210" t="str">
        <f>IFERROR(INDEX('V6'!C$300:C$400,MATCH("*"&amp;I58&amp;"*",'V6'!B$300:B$400,0)),"  ")</f>
        <v xml:space="preserve">  </v>
      </c>
      <c r="AB58" s="210" t="str">
        <f>IFERROR(INDEX('V7'!C$300:C$400,MATCH("*"&amp;I58&amp;"*",'V7'!B$300:B$400,0)),"  ")</f>
        <v xml:space="preserve">  </v>
      </c>
      <c r="AC58" s="210">
        <f>IFERROR(INDEX('V8'!C$300:C$400,MATCH("*"&amp;I58&amp;"*",'V8'!B$300:B$400,0)),"  ")</f>
        <v>4.5</v>
      </c>
      <c r="AD58" s="210" t="str">
        <f>IFERROR(INDEX('V9'!C$300:C$400,MATCH("*"&amp;I58&amp;"*",'V9'!B$300:B$400,0)),"  ")</f>
        <v xml:space="preserve">  </v>
      </c>
      <c r="AE58" s="210" t="str">
        <f>IFERROR(INDEX('V10'!C$300:C$400,MATCH("*"&amp;I58&amp;"*",'V10'!B$300:B$400,0)),"  ")</f>
        <v xml:space="preserve">  </v>
      </c>
      <c r="AF58" s="211">
        <f t="shared" si="13"/>
        <v>0</v>
      </c>
      <c r="AG58" s="211" t="str">
        <f t="shared" si="8"/>
        <v/>
      </c>
      <c r="AH58" s="1362" t="str">
        <f>IFERROR(IF(COUNTIF(V58:AE58,"&gt;0")&gt;=3,"edasi ","puudu "&amp;3-COUNT(V58:AE58))&amp;IF(OR(COUNTIF(V58:AE58,"&gt;0")&lt;3,COUNTIF(AE$7:AE$66,"&gt;0")=0),"",RANK(AG58,AG$7:AG$66,0)),"")</f>
        <v>puudu 2</v>
      </c>
      <c r="AI58" s="959" t="str">
        <f>IFERROR(INDEX('V-Fin'!A$300:A$325,MATCH(I58,'V-Fin'!B$300:B$325,0)),"")</f>
        <v/>
      </c>
      <c r="AJ58" s="214">
        <f t="shared" si="14"/>
        <v>1</v>
      </c>
      <c r="AK58" s="212">
        <f>IFERROR(IF(V58+1&gt;LARGE(V$7:V$66,1)-2,1),0)+IFERROR(IF(W58+1&gt;LARGE(W$7:W$66,1)-2,1),0)+IFERROR(IF(X58+1&gt;LARGE(X$7:X$66,1)-2,1),0)+IFERROR(IF(Y58+1&gt;LARGE(Y$7:Y$66,1)-2,1),0)+IFERROR(IF(Z58+1&gt;LARGE(Z$7:Z$66,1)-2,1),0)+IFERROR(IF(AA58+1&gt;LARGE(AA$7:AA$66,1)-2,1),0)+IFERROR(IF(AB58+1&gt;LARGE(AB$7:AB$66,1)-2,1),0)+IFERROR(IF(AC58+1&gt;LARGE(AC$7:AC$66,1)-2,1),0)+IFERROR(IF(AD58+1&gt;LARGE(AD$7:AD$66,1)-2,1),0)+IFERROR(IF(AE58+1&gt;LARGE(AE$7:AE$66,1)-2,1),0)</f>
        <v>0</v>
      </c>
      <c r="AL58" s="212">
        <f>IF(V58=0,0,IF(V58=IFERROR(LARGE(V$7:V$66,1),0),1,0))+IF(W58=0,0,IF(W58=IFERROR(LARGE(W$7:W$66,1),0),1,0))+IF(X58=0,0,IF(X58=IFERROR(LARGE(X$7:X$66,1),0),1,0))+IF(Y58=0,0,IF(Y58=IFERROR(LARGE(Y$7:Y$66,1),0),1,0))+IF(Z58=0,0,IF(Z58=IFERROR(LARGE(Z$7:Z$66,1),0),1,0))+IF(AA58=0,0,IF(AA58=IFERROR(LARGE(AA$7:AA$66,1),0),1,0))+IF(AB58=0,0,IF(AB58=IFERROR(LARGE(AB$7:AB$66,1),0),1,0))+IF(AC58=0,0,IF(AC58=IFERROR(LARGE(AC$7:AC$66,1),0),1,0))+IF(AD58=0,0,IF(AD58=IFERROR(LARGE(AD$7:AD$66,1),0),1,0))+IF(AE58=0,0,IF(AE58=IFERROR(LARGE(AE$7:AE$66,1),0),1,0))</f>
        <v>0</v>
      </c>
    </row>
    <row r="59" spans="1:38" x14ac:dyDescent="0.2">
      <c r="A59" s="1026" t="str">
        <f>IF(M59="k",RANK(B59,B$7:B$66,0),"")</f>
        <v/>
      </c>
      <c r="B59" s="266">
        <f t="shared" si="9"/>
        <v>0</v>
      </c>
      <c r="C59" s="944"/>
      <c r="D59" s="1029">
        <f>IF(J59="n",RANK(E59,E$7:E$66,0),"")</f>
        <v>10</v>
      </c>
      <c r="E59" s="1028">
        <f t="shared" si="6"/>
        <v>10004</v>
      </c>
      <c r="F59" s="1025" t="str">
        <f>IF(K59="j",RANK(G59,G$7:G$66,0),"")</f>
        <v/>
      </c>
      <c r="G59" s="266">
        <f t="shared" si="7"/>
        <v>0</v>
      </c>
      <c r="H59" s="209">
        <f>IF(N59&gt;0,RANK(Q59,Q$7:Q$66,1),"")</f>
        <v>53</v>
      </c>
      <c r="I59" s="267" t="s">
        <v>608</v>
      </c>
      <c r="J59" s="269" t="s">
        <v>137</v>
      </c>
      <c r="K59" s="270"/>
      <c r="L59" s="1381"/>
      <c r="M59" s="274"/>
      <c r="N59" s="1019">
        <f t="shared" si="10"/>
        <v>4</v>
      </c>
      <c r="O59" s="268" t="str">
        <f>INDEX(ETAPP!B$1:B$32,MATCH(COUNTIF(V59:AE59,PVO!A$1),ETAPP!A$1:A$32,0))&amp;INDEX(ETAPP!B$1:B$32,MATCH(COUNTIF(V59:AE59,PVO!A$2),ETAPP!A$1:A$32,0))&amp;INDEX(ETAPP!B$1:B$32,MATCH(COUNTIF(V59:AE59,PVO!A$3),ETAPP!A$1:A$32,0))&amp;INDEX(ETAPP!B$1:B$32,MATCH(COUNTIF(V59:AE59,PVO!A$4),ETAPP!A$1:A$32,0))&amp;INDEX(ETAPP!B$1:B$32,MATCH(COUNTIF(V59:AE59,PVO!A$5),ETAPP!A$1:A$32,0))&amp;INDEX(ETAPP!B$1:B$32,MATCH(COUNTIF(V59:AE59,PVO!A$6),ETAPP!A$1:A$32,0))&amp;INDEX(ETAPP!B$1:B$32,MATCH(COUNTIF(V59:AE59,PVO!A$7),ETAPP!A$1:A$32,0))&amp;INDEX(ETAPP!B$1:B$32,MATCH(COUNTIF(V59:AE59,PVO!A$8),ETAPP!A$1:A$32,0))&amp;INDEX(ETAPP!B$1:B$32,MATCH(COUNTIF(V59:AE59,PVO!A$9),ETAPP!A$1:A$32,0))&amp;INDEX(ETAPP!B$1:B$32,MATCH(COUNTIF(V59:AE59,PVO!A$10),ETAPP!A$1:A$32,0))&amp;INDEX(ETAPP!B$1:B$32,MATCH(COUNTIF(V59:AE59,PVO!A$11),ETAPP!A$1:A$32,0))&amp;INDEX(ETAPP!B$1:B$32,MATCH(COUNTIF(V59:AE59,PVO!A$12),ETAPP!A$1:A$32,0))&amp;INDEX(ETAPP!B$1:B$32,MATCH(COUNTIF(V59:AE59,PVO!A$13),ETAPP!A$1:A$32,0))&amp;INDEX(ETAPP!B$1:B$32,MATCH(COUNTIF(V59:AE59,PVO!A$14),ETAPP!A$1:A$32,0))&amp;INDEX(ETAPP!B$1:B$32,MATCH(COUNTIF(V59:AE59,PVO!A$15),ETAPP!A$1:A$32,0))&amp;INDEX(ETAPP!B$1:B$32,MATCH(COUNTIF(V59:AE59,PVO!A$16),ETAPP!A$1:A$32,0))&amp;INDEX(ETAPP!B$1:B$32,MATCH(COUNTIF(V59:AE59,PVO!A$17),ETAPP!A$1:A$32,0))&amp;INDEX(ETAPP!B$1:B$32,MATCH(COUNTIF(V59:AE59,PVO!A$18),ETAPP!A$1:A$32,0))&amp;INDEX(ETAPP!B$1:B$32,MATCH(COUNTIF(V59:AE59,PVO!A$19),ETAPP!A$1:A$32,0))&amp;INDEX(ETAPP!B$1:B$32,MATCH(COUNTIF(V59:AE59,PVO!A$20),ETAPP!A$1:A$32,0))&amp;INDEX(ETAPP!B$1:B$32,MATCH(COUNTIF(V59:AE59,PVO!A$21),ETAPP!A$1:A$32,0))&amp;INDEX(ETAPP!B$1:B$32,MATCH(COUNTIF(V59:AE59,PVO!A$22),ETAPP!A$1:A$32,0))</f>
        <v>0000000000000000A0000D</v>
      </c>
      <c r="P59" s="268" t="str">
        <f t="shared" si="11"/>
        <v>004,0-0000000000000000A0000D</v>
      </c>
      <c r="Q59" s="268">
        <f>COUNTIF(P$7:P$66,"&gt;="&amp;P59)</f>
        <v>54</v>
      </c>
      <c r="R59" s="268">
        <f>COUNTIF(I$7:I$66,"&gt;="&amp;I59)</f>
        <v>35</v>
      </c>
      <c r="S59" s="268" t="str">
        <f t="shared" si="12"/>
        <v>004,0-0000000000000000A0000D-035</v>
      </c>
      <c r="T59" s="268">
        <f>COUNTIF(S$7:S$66,"&gt;="&amp;S59)</f>
        <v>53</v>
      </c>
      <c r="U59" s="832">
        <f>RANK(T59,T$7:T$66,0)</f>
        <v>8</v>
      </c>
      <c r="V59" s="210" t="str">
        <f>IFERROR(INDEX('V1'!C$300:C$400,MATCH("*"&amp;I59&amp;"*",'V1'!B$300:B$400,0)),"  ")</f>
        <v xml:space="preserve">  </v>
      </c>
      <c r="W59" s="210" t="str">
        <f>IFERROR(INDEX('V2'!C$300:C$400,MATCH("*"&amp;I59&amp;"*",'V2'!B$300:B$400,0)),"  ")</f>
        <v xml:space="preserve">  </v>
      </c>
      <c r="X59" s="210" t="str">
        <f>IFERROR(INDEX('V3'!C$300:C$400,MATCH("*"&amp;I59&amp;"*",'V3'!B$300:B$400,0)),"  ")</f>
        <v xml:space="preserve">  </v>
      </c>
      <c r="Y59" s="210" t="str">
        <f>IFERROR(INDEX('V4'!C$300:C$400,MATCH("*"&amp;I59&amp;"*",'V4'!B$300:B$400,0)),"  ")</f>
        <v xml:space="preserve">  </v>
      </c>
      <c r="Z59" s="210" t="str">
        <f>IFERROR(INDEX('V5'!C$300:C$400,MATCH("*"&amp;I59&amp;"*",'V5'!B$300:B$400,0)),"  ")</f>
        <v xml:space="preserve">  </v>
      </c>
      <c r="AA59" s="210">
        <f>IFERROR(INDEX('V6'!C$300:C$400,MATCH("*"&amp;I59&amp;"*",'V6'!B$300:B$400,0)),"  ")</f>
        <v>4</v>
      </c>
      <c r="AB59" s="210" t="str">
        <f>IFERROR(INDEX('V7'!C$300:C$400,MATCH("*"&amp;I59&amp;"*",'V7'!B$300:B$400,0)),"  ")</f>
        <v xml:space="preserve">  </v>
      </c>
      <c r="AC59" s="210" t="str">
        <f>IFERROR(INDEX('V8'!C$300:C$400,MATCH("*"&amp;I59&amp;"*",'V8'!B$300:B$400,0)),"  ")</f>
        <v xml:space="preserve">  </v>
      </c>
      <c r="AD59" s="210" t="str">
        <f>IFERROR(INDEX('V9'!C$300:C$400,MATCH("*"&amp;I59&amp;"*",'V9'!B$300:B$400,0)),"  ")</f>
        <v xml:space="preserve">  </v>
      </c>
      <c r="AE59" s="210" t="str">
        <f>IFERROR(INDEX('V10'!C$300:C$400,MATCH("*"&amp;I59&amp;"*",'V10'!B$300:B$400,0)),"  ")</f>
        <v xml:space="preserve">  </v>
      </c>
      <c r="AF59" s="211">
        <f t="shared" si="13"/>
        <v>0</v>
      </c>
      <c r="AG59" s="211" t="str">
        <f t="shared" si="8"/>
        <v/>
      </c>
      <c r="AH59" s="1362" t="str">
        <f>IFERROR(IF(COUNTIF(V59:AE59,"&gt;0")&gt;=3,"edasi ","puudu "&amp;3-COUNT(V59:AE59))&amp;IF(OR(COUNTIF(V59:AE59,"&gt;0")&lt;3,COUNTIF(AE$7:AE$66,"&gt;0")=0),"",RANK(AG59,AG$7:AG$66,0)),"")</f>
        <v>puudu 2</v>
      </c>
      <c r="AI59" s="959" t="str">
        <f>IFERROR(INDEX('V-Fin'!A$300:A$325,MATCH(I59,'V-Fin'!B$300:B$325,0)),"")</f>
        <v/>
      </c>
      <c r="AJ59" s="214">
        <f t="shared" si="14"/>
        <v>1</v>
      </c>
      <c r="AK59" s="212">
        <f>IFERROR(IF(V59+1&gt;LARGE(V$7:V$66,1)-2,1),0)+IFERROR(IF(W59+1&gt;LARGE(W$7:W$66,1)-2,1),0)+IFERROR(IF(X59+1&gt;LARGE(X$7:X$66,1)-2,1),0)+IFERROR(IF(Y59+1&gt;LARGE(Y$7:Y$66,1)-2,1),0)+IFERROR(IF(Z59+1&gt;LARGE(Z$7:Z$66,1)-2,1),0)+IFERROR(IF(AA59+1&gt;LARGE(AA$7:AA$66,1)-2,1),0)+IFERROR(IF(AB59+1&gt;LARGE(AB$7:AB$66,1)-2,1),0)+IFERROR(IF(AC59+1&gt;LARGE(AC$7:AC$66,1)-2,1),0)+IFERROR(IF(AD59+1&gt;LARGE(AD$7:AD$66,1)-2,1),0)+IFERROR(IF(AE59+1&gt;LARGE(AE$7:AE$66,1)-2,1),0)</f>
        <v>0</v>
      </c>
      <c r="AL59" s="212">
        <f>IF(V59=0,0,IF(V59=IFERROR(LARGE(V$7:V$66,1),0),1,0))+IF(W59=0,0,IF(W59=IFERROR(LARGE(W$7:W$66,1),0),1,0))+IF(X59=0,0,IF(X59=IFERROR(LARGE(X$7:X$66,1),0),1,0))+IF(Y59=0,0,IF(Y59=IFERROR(LARGE(Y$7:Y$66,1),0),1,0))+IF(Z59=0,0,IF(Z59=IFERROR(LARGE(Z$7:Z$66,1),0),1,0))+IF(AA59=0,0,IF(AA59=IFERROR(LARGE(AA$7:AA$66,1),0),1,0))+IF(AB59=0,0,IF(AB59=IFERROR(LARGE(AB$7:AB$66,1),0),1,0))+IF(AC59=0,0,IF(AC59=IFERROR(LARGE(AC$7:AC$66,1),0),1,0))+IF(AD59=0,0,IF(AD59=IFERROR(LARGE(AD$7:AD$66,1),0),1,0))+IF(AE59=0,0,IF(AE59=IFERROR(LARGE(AE$7:AE$66,1),0),1,0))</f>
        <v>0</v>
      </c>
    </row>
    <row r="60" spans="1:38" x14ac:dyDescent="0.2">
      <c r="A60" s="1026">
        <f>IF(M60="k",RANK(B60,B$7:B$66,0),"")</f>
        <v>23</v>
      </c>
      <c r="B60" s="266">
        <f t="shared" si="9"/>
        <v>10004</v>
      </c>
      <c r="C60" s="944"/>
      <c r="D60" s="1029" t="str">
        <f>IF(J60="n",RANK(E60,E$7:E$66,0),"")</f>
        <v/>
      </c>
      <c r="E60" s="1028">
        <f t="shared" si="6"/>
        <v>0</v>
      </c>
      <c r="F60" s="1025" t="str">
        <f>IF(K60="j",RANK(G60,G$7:G$66,0),"")</f>
        <v/>
      </c>
      <c r="G60" s="266">
        <f t="shared" si="7"/>
        <v>0</v>
      </c>
      <c r="H60" s="209">
        <f>IF(N60&gt;0,RANK(Q60,Q$7:Q$66,1),"")</f>
        <v>53</v>
      </c>
      <c r="I60" s="213" t="s">
        <v>599</v>
      </c>
      <c r="J60" s="269"/>
      <c r="K60" s="270"/>
      <c r="L60" s="1381"/>
      <c r="M60" s="274" t="s">
        <v>187</v>
      </c>
      <c r="N60" s="1019">
        <f t="shared" si="10"/>
        <v>4</v>
      </c>
      <c r="O60" s="268" t="str">
        <f>INDEX(ETAPP!B$1:B$32,MATCH(COUNTIF(V60:AE60,PVO!A$1),ETAPP!A$1:A$32,0))&amp;INDEX(ETAPP!B$1:B$32,MATCH(COUNTIF(V60:AE60,PVO!A$2),ETAPP!A$1:A$32,0))&amp;INDEX(ETAPP!B$1:B$32,MATCH(COUNTIF(V60:AE60,PVO!A$3),ETAPP!A$1:A$32,0))&amp;INDEX(ETAPP!B$1:B$32,MATCH(COUNTIF(V60:AE60,PVO!A$4),ETAPP!A$1:A$32,0))&amp;INDEX(ETAPP!B$1:B$32,MATCH(COUNTIF(V60:AE60,PVO!A$5),ETAPP!A$1:A$32,0))&amp;INDEX(ETAPP!B$1:B$32,MATCH(COUNTIF(V60:AE60,PVO!A$6),ETAPP!A$1:A$32,0))&amp;INDEX(ETAPP!B$1:B$32,MATCH(COUNTIF(V60:AE60,PVO!A$7),ETAPP!A$1:A$32,0))&amp;INDEX(ETAPP!B$1:B$32,MATCH(COUNTIF(V60:AE60,PVO!A$8),ETAPP!A$1:A$32,0))&amp;INDEX(ETAPP!B$1:B$32,MATCH(COUNTIF(V60:AE60,PVO!A$9),ETAPP!A$1:A$32,0))&amp;INDEX(ETAPP!B$1:B$32,MATCH(COUNTIF(V60:AE60,PVO!A$10),ETAPP!A$1:A$32,0))&amp;INDEX(ETAPP!B$1:B$32,MATCH(COUNTIF(V60:AE60,PVO!A$11),ETAPP!A$1:A$32,0))&amp;INDEX(ETAPP!B$1:B$32,MATCH(COUNTIF(V60:AE60,PVO!A$12),ETAPP!A$1:A$32,0))&amp;INDEX(ETAPP!B$1:B$32,MATCH(COUNTIF(V60:AE60,PVO!A$13),ETAPP!A$1:A$32,0))&amp;INDEX(ETAPP!B$1:B$32,MATCH(COUNTIF(V60:AE60,PVO!A$14),ETAPP!A$1:A$32,0))&amp;INDEX(ETAPP!B$1:B$32,MATCH(COUNTIF(V60:AE60,PVO!A$15),ETAPP!A$1:A$32,0))&amp;INDEX(ETAPP!B$1:B$32,MATCH(COUNTIF(V60:AE60,PVO!A$16),ETAPP!A$1:A$32,0))&amp;INDEX(ETAPP!B$1:B$32,MATCH(COUNTIF(V60:AE60,PVO!A$17),ETAPP!A$1:A$32,0))&amp;INDEX(ETAPP!B$1:B$32,MATCH(COUNTIF(V60:AE60,PVO!A$18),ETAPP!A$1:A$32,0))&amp;INDEX(ETAPP!B$1:B$32,MATCH(COUNTIF(V60:AE60,PVO!A$19),ETAPP!A$1:A$32,0))&amp;INDEX(ETAPP!B$1:B$32,MATCH(COUNTIF(V60:AE60,PVO!A$20),ETAPP!A$1:A$32,0))&amp;INDEX(ETAPP!B$1:B$32,MATCH(COUNTIF(V60:AE60,PVO!A$21),ETAPP!A$1:A$32,0))&amp;INDEX(ETAPP!B$1:B$32,MATCH(COUNTIF(V60:AE60,PVO!A$22),ETAPP!A$1:A$32,0))</f>
        <v>0000000000000000A0000D</v>
      </c>
      <c r="P60" s="268" t="str">
        <f t="shared" si="11"/>
        <v>004,0-0000000000000000A0000D</v>
      </c>
      <c r="Q60" s="268">
        <f>COUNTIF(P$7:P$66,"&gt;="&amp;P60)</f>
        <v>54</v>
      </c>
      <c r="R60" s="268">
        <f>COUNTIF(I$7:I$66,"&gt;="&amp;I60)</f>
        <v>10</v>
      </c>
      <c r="S60" s="268" t="str">
        <f t="shared" si="12"/>
        <v>004,0-0000000000000000A0000D-010</v>
      </c>
      <c r="T60" s="268">
        <f>COUNTIF(S$7:S$66,"&gt;="&amp;S60)</f>
        <v>54</v>
      </c>
      <c r="U60" s="832">
        <f>RANK(T60,T$7:T$66,0)</f>
        <v>7</v>
      </c>
      <c r="V60" s="210" t="str">
        <f>IFERROR(INDEX('V1'!C$300:C$400,MATCH("*"&amp;I60&amp;"*",'V1'!B$300:B$400,0)),"  ")</f>
        <v xml:space="preserve">  </v>
      </c>
      <c r="W60" s="210" t="str">
        <f>IFERROR(INDEX('V2'!C$300:C$400,MATCH("*"&amp;I60&amp;"*",'V2'!B$300:B$400,0)),"  ")</f>
        <v xml:space="preserve">  </v>
      </c>
      <c r="X60" s="210" t="str">
        <f>IFERROR(INDEX('V3'!C$300:C$400,MATCH("*"&amp;I60&amp;"*",'V3'!B$300:B$400,0)),"  ")</f>
        <v xml:space="preserve">  </v>
      </c>
      <c r="Y60" s="210" t="str">
        <f>IFERROR(INDEX('V4'!C$300:C$400,MATCH("*"&amp;I60&amp;"*",'V4'!B$300:B$400,0)),"  ")</f>
        <v xml:space="preserve">  </v>
      </c>
      <c r="Z60" s="210" t="str">
        <f>IFERROR(INDEX('V5'!C$300:C$400,MATCH("*"&amp;I60&amp;"*",'V5'!B$300:B$400,0)),"  ")</f>
        <v xml:space="preserve">  </v>
      </c>
      <c r="AA60" s="210">
        <f>IFERROR(INDEX('V6'!C$300:C$400,MATCH("*"&amp;I60&amp;"*",'V6'!B$300:B$400,0)),"  ")</f>
        <v>4</v>
      </c>
      <c r="AB60" s="210" t="str">
        <f>IFERROR(INDEX('V7'!C$300:C$400,MATCH("*"&amp;I60&amp;"*",'V7'!B$300:B$400,0)),"  ")</f>
        <v xml:space="preserve">  </v>
      </c>
      <c r="AC60" s="210" t="str">
        <f>IFERROR(INDEX('V8'!C$300:C$400,MATCH("*"&amp;I60&amp;"*",'V8'!B$300:B$400,0)),"  ")</f>
        <v xml:space="preserve">  </v>
      </c>
      <c r="AD60" s="210" t="str">
        <f>IFERROR(INDEX('V9'!C$300:C$400,MATCH("*"&amp;I60&amp;"*",'V9'!B$300:B$400,0)),"  ")</f>
        <v xml:space="preserve">  </v>
      </c>
      <c r="AE60" s="210" t="str">
        <f>IFERROR(INDEX('V10'!C$300:C$400,MATCH("*"&amp;I60&amp;"*",'V10'!B$300:B$400,0)),"  ")</f>
        <v xml:space="preserve">  </v>
      </c>
      <c r="AF60" s="211">
        <f t="shared" si="13"/>
        <v>0</v>
      </c>
      <c r="AG60" s="211" t="str">
        <f t="shared" si="8"/>
        <v/>
      </c>
      <c r="AH60" s="1362" t="str">
        <f>IFERROR(IF(COUNTIF(V60:AE60,"&gt;0")&gt;=3,"edasi ","puudu "&amp;3-COUNT(V60:AE60))&amp;IF(OR(COUNTIF(V60:AE60,"&gt;0")&lt;3,COUNTIF(AE$7:AE$66,"&gt;0")=0),"",RANK(AG60,AG$7:AG$66,0)),"")</f>
        <v>puudu 2</v>
      </c>
      <c r="AI60" s="959" t="str">
        <f>IFERROR(INDEX('V-Fin'!A$300:A$325,MATCH(I60,'V-Fin'!B$300:B$325,0)),"")</f>
        <v/>
      </c>
      <c r="AJ60" s="214">
        <f t="shared" si="14"/>
        <v>1</v>
      </c>
      <c r="AK60" s="212">
        <f>IFERROR(IF(V60+1&gt;LARGE(V$7:V$66,1)-2,1),0)+IFERROR(IF(W60+1&gt;LARGE(W$7:W$66,1)-2,1),0)+IFERROR(IF(X60+1&gt;LARGE(X$7:X$66,1)-2,1),0)+IFERROR(IF(Y60+1&gt;LARGE(Y$7:Y$66,1)-2,1),0)+IFERROR(IF(Z60+1&gt;LARGE(Z$7:Z$66,1)-2,1),0)+IFERROR(IF(AA60+1&gt;LARGE(AA$7:AA$66,1)-2,1),0)+IFERROR(IF(AB60+1&gt;LARGE(AB$7:AB$66,1)-2,1),0)+IFERROR(IF(AC60+1&gt;LARGE(AC$7:AC$66,1)-2,1),0)+IFERROR(IF(AD60+1&gt;LARGE(AD$7:AD$66,1)-2,1),0)+IFERROR(IF(AE60+1&gt;LARGE(AE$7:AE$66,1)-2,1),0)</f>
        <v>0</v>
      </c>
      <c r="AL60" s="212">
        <f>IF(V60=0,0,IF(V60=IFERROR(LARGE(V$7:V$66,1),0),1,0))+IF(W60=0,0,IF(W60=IFERROR(LARGE(W$7:W$66,1),0),1,0))+IF(X60=0,0,IF(X60=IFERROR(LARGE(X$7:X$66,1),0),1,0))+IF(Y60=0,0,IF(Y60=IFERROR(LARGE(Y$7:Y$66,1),0),1,0))+IF(Z60=0,0,IF(Z60=IFERROR(LARGE(Z$7:Z$66,1),0),1,0))+IF(AA60=0,0,IF(AA60=IFERROR(LARGE(AA$7:AA$66,1),0),1,0))+IF(AB60=0,0,IF(AB60=IFERROR(LARGE(AB$7:AB$66,1),0),1,0))+IF(AC60=0,0,IF(AC60=IFERROR(LARGE(AC$7:AC$66,1),0),1,0))+IF(AD60=0,0,IF(AD60=IFERROR(LARGE(AD$7:AD$66,1),0),1,0))+IF(AE60=0,0,IF(AE60=IFERROR(LARGE(AE$7:AE$66,1),0),1,0))</f>
        <v>0</v>
      </c>
    </row>
    <row r="61" spans="1:38" x14ac:dyDescent="0.2">
      <c r="A61" s="1026" t="str">
        <f>IF(M61="k",RANK(B61,B$7:B$66,0),"")</f>
        <v/>
      </c>
      <c r="B61" s="266">
        <f t="shared" si="9"/>
        <v>0</v>
      </c>
      <c r="C61" s="944"/>
      <c r="D61" s="1029">
        <f>IF(J61="n",RANK(E61,E$7:E$66,0),"")</f>
        <v>11</v>
      </c>
      <c r="E61" s="1028">
        <f t="shared" si="6"/>
        <v>10003</v>
      </c>
      <c r="F61" s="1025" t="str">
        <f>IF(K61="j",RANK(G61,G$7:G$66,0),"")</f>
        <v/>
      </c>
      <c r="G61" s="266">
        <f t="shared" si="7"/>
        <v>0</v>
      </c>
      <c r="H61" s="209">
        <f>IF(N61&gt;0,RANK(Q61,Q$7:Q$66,1),"")</f>
        <v>55</v>
      </c>
      <c r="I61" s="213" t="s">
        <v>108</v>
      </c>
      <c r="J61" s="269" t="s">
        <v>137</v>
      </c>
      <c r="K61" s="270"/>
      <c r="L61" s="1381"/>
      <c r="M61" s="274"/>
      <c r="N61" s="1019">
        <f t="shared" si="10"/>
        <v>3</v>
      </c>
      <c r="O61" s="268" t="str">
        <f>INDEX(ETAPP!B$1:B$32,MATCH(COUNTIF(V61:AE61,PVO!A$1),ETAPP!A$1:A$32,0))&amp;INDEX(ETAPP!B$1:B$32,MATCH(COUNTIF(V61:AE61,PVO!A$2),ETAPP!A$1:A$32,0))&amp;INDEX(ETAPP!B$1:B$32,MATCH(COUNTIF(V61:AE61,PVO!A$3),ETAPP!A$1:A$32,0))&amp;INDEX(ETAPP!B$1:B$32,MATCH(COUNTIF(V61:AE61,PVO!A$4),ETAPP!A$1:A$32,0))&amp;INDEX(ETAPP!B$1:B$32,MATCH(COUNTIF(V61:AE61,PVO!A$5),ETAPP!A$1:A$32,0))&amp;INDEX(ETAPP!B$1:B$32,MATCH(COUNTIF(V61:AE61,PVO!A$6),ETAPP!A$1:A$32,0))&amp;INDEX(ETAPP!B$1:B$32,MATCH(COUNTIF(V61:AE61,PVO!A$7),ETAPP!A$1:A$32,0))&amp;INDEX(ETAPP!B$1:B$32,MATCH(COUNTIF(V61:AE61,PVO!A$8),ETAPP!A$1:A$32,0))&amp;INDEX(ETAPP!B$1:B$32,MATCH(COUNTIF(V61:AE61,PVO!A$9),ETAPP!A$1:A$32,0))&amp;INDEX(ETAPP!B$1:B$32,MATCH(COUNTIF(V61:AE61,PVO!A$10),ETAPP!A$1:A$32,0))&amp;INDEX(ETAPP!B$1:B$32,MATCH(COUNTIF(V61:AE61,PVO!A$11),ETAPP!A$1:A$32,0))&amp;INDEX(ETAPP!B$1:B$32,MATCH(COUNTIF(V61:AE61,PVO!A$12),ETAPP!A$1:A$32,0))&amp;INDEX(ETAPP!B$1:B$32,MATCH(COUNTIF(V61:AE61,PVO!A$13),ETAPP!A$1:A$32,0))&amp;INDEX(ETAPP!B$1:B$32,MATCH(COUNTIF(V61:AE61,PVO!A$14),ETAPP!A$1:A$32,0))&amp;INDEX(ETAPP!B$1:B$32,MATCH(COUNTIF(V61:AE61,PVO!A$15),ETAPP!A$1:A$32,0))&amp;INDEX(ETAPP!B$1:B$32,MATCH(COUNTIF(V61:AE61,PVO!A$16),ETAPP!A$1:A$32,0))&amp;INDEX(ETAPP!B$1:B$32,MATCH(COUNTIF(V61:AE61,PVO!A$17),ETAPP!A$1:A$32,0))&amp;INDEX(ETAPP!B$1:B$32,MATCH(COUNTIF(V61:AE61,PVO!A$18),ETAPP!A$1:A$32,0))&amp;INDEX(ETAPP!B$1:B$32,MATCH(COUNTIF(V61:AE61,PVO!A$19),ETAPP!A$1:A$32,0))&amp;INDEX(ETAPP!B$1:B$32,MATCH(COUNTIF(V61:AE61,PVO!A$20),ETAPP!A$1:A$32,0))&amp;INDEX(ETAPP!B$1:B$32,MATCH(COUNTIF(V61:AE61,PVO!A$21),ETAPP!A$1:A$32,0))&amp;INDEX(ETAPP!B$1:B$32,MATCH(COUNTIF(V61:AE61,PVO!A$22),ETAPP!A$1:A$32,0))</f>
        <v>00000000000000000A000D</v>
      </c>
      <c r="P61" s="268" t="str">
        <f t="shared" si="11"/>
        <v>003,0-00000000000000000A000D</v>
      </c>
      <c r="Q61" s="268">
        <f>COUNTIF(P$7:P$66,"&gt;="&amp;P61)</f>
        <v>56</v>
      </c>
      <c r="R61" s="268">
        <f>COUNTIF(I$7:I$66,"&gt;="&amp;I61)</f>
        <v>29</v>
      </c>
      <c r="S61" s="268" t="str">
        <f t="shared" si="12"/>
        <v>003,0-00000000000000000A000D-029</v>
      </c>
      <c r="T61" s="268">
        <f>COUNTIF(S$7:S$66,"&gt;="&amp;S61)</f>
        <v>55</v>
      </c>
      <c r="U61" s="832">
        <f>RANK(T61,T$7:T$66,0)</f>
        <v>6</v>
      </c>
      <c r="V61" s="210" t="str">
        <f>IFERROR(INDEX('V1'!C$300:C$400,MATCH("*"&amp;I61&amp;"*",'V1'!B$300:B$400,0)),"  ")</f>
        <v xml:space="preserve">  </v>
      </c>
      <c r="W61" s="210" t="str">
        <f>IFERROR(INDEX('V2'!C$300:C$400,MATCH("*"&amp;I61&amp;"*",'V2'!B$300:B$400,0)),"  ")</f>
        <v xml:space="preserve">  </v>
      </c>
      <c r="X61" s="210" t="str">
        <f>IFERROR(INDEX('V3'!C$300:C$400,MATCH("*"&amp;I61&amp;"*",'V3'!B$300:B$400,0)),"  ")</f>
        <v xml:space="preserve">  </v>
      </c>
      <c r="Y61" s="210" t="str">
        <f>IFERROR(INDEX('V4'!C$300:C$400,MATCH("*"&amp;I61&amp;"*",'V4'!B$300:B$400,0)),"  ")</f>
        <v xml:space="preserve">  </v>
      </c>
      <c r="Z61" s="210" t="str">
        <f>IFERROR(INDEX('V5'!C$300:C$400,MATCH("*"&amp;I61&amp;"*",'V5'!B$300:B$400,0)),"  ")</f>
        <v xml:space="preserve">  </v>
      </c>
      <c r="AA61" s="210" t="str">
        <f>IFERROR(INDEX('V6'!C$300:C$400,MATCH("*"&amp;I61&amp;"*",'V6'!B$300:B$400,0)),"  ")</f>
        <v xml:space="preserve">  </v>
      </c>
      <c r="AB61" s="210" t="str">
        <f>IFERROR(INDEX('V7'!C$300:C$400,MATCH("*"&amp;I61&amp;"*",'V7'!B$300:B$400,0)),"  ")</f>
        <v xml:space="preserve">  </v>
      </c>
      <c r="AC61" s="210">
        <f>IFERROR(INDEX('V8'!C$300:C$400,MATCH("*"&amp;I61&amp;"*",'V8'!B$300:B$400,0)),"  ")</f>
        <v>3</v>
      </c>
      <c r="AD61" s="210" t="str">
        <f>IFERROR(INDEX('V9'!C$300:C$400,MATCH("*"&amp;I61&amp;"*",'V9'!B$300:B$400,0)),"  ")</f>
        <v xml:space="preserve">  </v>
      </c>
      <c r="AE61" s="210" t="str">
        <f>IFERROR(INDEX('V10'!C$300:C$400,MATCH("*"&amp;I61&amp;"*",'V10'!B$300:B$400,0)),"  ")</f>
        <v xml:space="preserve">  </v>
      </c>
      <c r="AF61" s="211">
        <f t="shared" si="13"/>
        <v>0</v>
      </c>
      <c r="AG61" s="211" t="str">
        <f t="shared" si="8"/>
        <v/>
      </c>
      <c r="AH61" s="1362" t="str">
        <f>IFERROR(IF(COUNTIF(V61:AE61,"&gt;0")&gt;=3,"edasi ","puudu "&amp;3-COUNT(V61:AE61))&amp;IF(OR(COUNTIF(V61:AE61,"&gt;0")&lt;3,COUNTIF(AE$7:AE$66,"&gt;0")=0),"",RANK(AG61,AG$7:AG$66,0)),"")</f>
        <v>puudu 2</v>
      </c>
      <c r="AI61" s="959" t="str">
        <f>IFERROR(INDEX('V-Fin'!A$300:A$325,MATCH(I61,'V-Fin'!B$300:B$325,0)),"")</f>
        <v/>
      </c>
      <c r="AJ61" s="214">
        <f t="shared" si="14"/>
        <v>1</v>
      </c>
      <c r="AK61" s="212">
        <f>IFERROR(IF(V61+1&gt;LARGE(V$7:V$66,1)-2,1),0)+IFERROR(IF(W61+1&gt;LARGE(W$7:W$66,1)-2,1),0)+IFERROR(IF(X61+1&gt;LARGE(X$7:X$66,1)-2,1),0)+IFERROR(IF(Y61+1&gt;LARGE(Y$7:Y$66,1)-2,1),0)+IFERROR(IF(Z61+1&gt;LARGE(Z$7:Z$66,1)-2,1),0)+IFERROR(IF(AA61+1&gt;LARGE(AA$7:AA$66,1)-2,1),0)+IFERROR(IF(AB61+1&gt;LARGE(AB$7:AB$66,1)-2,1),0)+IFERROR(IF(AC61+1&gt;LARGE(AC$7:AC$66,1)-2,1),0)+IFERROR(IF(AD61+1&gt;LARGE(AD$7:AD$66,1)-2,1),0)+IFERROR(IF(AE61+1&gt;LARGE(AE$7:AE$66,1)-2,1),0)</f>
        <v>0</v>
      </c>
      <c r="AL61" s="212">
        <f>IF(V61=0,0,IF(V61=IFERROR(LARGE(V$7:V$66,1),0),1,0))+IF(W61=0,0,IF(W61=IFERROR(LARGE(W$7:W$66,1),0),1,0))+IF(X61=0,0,IF(X61=IFERROR(LARGE(X$7:X$66,1),0),1,0))+IF(Y61=0,0,IF(Y61=IFERROR(LARGE(Y$7:Y$66,1),0),1,0))+IF(Z61=0,0,IF(Z61=IFERROR(LARGE(Z$7:Z$66,1),0),1,0))+IF(AA61=0,0,IF(AA61=IFERROR(LARGE(AA$7:AA$66,1),0),1,0))+IF(AB61=0,0,IF(AB61=IFERROR(LARGE(AB$7:AB$66,1),0),1,0))+IF(AC61=0,0,IF(AC61=IFERROR(LARGE(AC$7:AC$66,1),0),1,0))+IF(AD61=0,0,IF(AD61=IFERROR(LARGE(AD$7:AD$66,1),0),1,0))+IF(AE61=0,0,IF(AE61=IFERROR(LARGE(AE$7:AE$66,1),0),1,0))</f>
        <v>0</v>
      </c>
    </row>
    <row r="62" spans="1:38" x14ac:dyDescent="0.2">
      <c r="A62" s="1026" t="str">
        <f>IF(M62="k",RANK(B62,B$7:B$66,0),"")</f>
        <v/>
      </c>
      <c r="B62" s="266">
        <f t="shared" si="9"/>
        <v>0</v>
      </c>
      <c r="C62" s="944"/>
      <c r="D62" s="1029" t="str">
        <f>IF(J62="n",RANK(E62,E$7:E$66,0),"")</f>
        <v/>
      </c>
      <c r="E62" s="1028">
        <f t="shared" si="6"/>
        <v>0</v>
      </c>
      <c r="F62" s="1025" t="str">
        <f>IF(K62="j",RANK(G62,G$7:G$66,0),"")</f>
        <v/>
      </c>
      <c r="G62" s="266">
        <f t="shared" si="7"/>
        <v>0</v>
      </c>
      <c r="H62" s="209">
        <f>IF(N62&gt;0,RANK(Q62,Q$7:Q$66,1),"")</f>
        <v>55</v>
      </c>
      <c r="I62" s="213" t="s">
        <v>112</v>
      </c>
      <c r="J62" s="269"/>
      <c r="K62" s="270"/>
      <c r="L62" s="1381"/>
      <c r="M62" s="274"/>
      <c r="N62" s="1019">
        <f t="shared" si="10"/>
        <v>3</v>
      </c>
      <c r="O62" s="268" t="str">
        <f>INDEX(ETAPP!B$1:B$32,MATCH(COUNTIF(V62:AE62,PVO!A$1),ETAPP!A$1:A$32,0))&amp;INDEX(ETAPP!B$1:B$32,MATCH(COUNTIF(V62:AE62,PVO!A$2),ETAPP!A$1:A$32,0))&amp;INDEX(ETAPP!B$1:B$32,MATCH(COUNTIF(V62:AE62,PVO!A$3),ETAPP!A$1:A$32,0))&amp;INDEX(ETAPP!B$1:B$32,MATCH(COUNTIF(V62:AE62,PVO!A$4),ETAPP!A$1:A$32,0))&amp;INDEX(ETAPP!B$1:B$32,MATCH(COUNTIF(V62:AE62,PVO!A$5),ETAPP!A$1:A$32,0))&amp;INDEX(ETAPP!B$1:B$32,MATCH(COUNTIF(V62:AE62,PVO!A$6),ETAPP!A$1:A$32,0))&amp;INDEX(ETAPP!B$1:B$32,MATCH(COUNTIF(V62:AE62,PVO!A$7),ETAPP!A$1:A$32,0))&amp;INDEX(ETAPP!B$1:B$32,MATCH(COUNTIF(V62:AE62,PVO!A$8),ETAPP!A$1:A$32,0))&amp;INDEX(ETAPP!B$1:B$32,MATCH(COUNTIF(V62:AE62,PVO!A$9),ETAPP!A$1:A$32,0))&amp;INDEX(ETAPP!B$1:B$32,MATCH(COUNTIF(V62:AE62,PVO!A$10),ETAPP!A$1:A$32,0))&amp;INDEX(ETAPP!B$1:B$32,MATCH(COUNTIF(V62:AE62,PVO!A$11),ETAPP!A$1:A$32,0))&amp;INDEX(ETAPP!B$1:B$32,MATCH(COUNTIF(V62:AE62,PVO!A$12),ETAPP!A$1:A$32,0))&amp;INDEX(ETAPP!B$1:B$32,MATCH(COUNTIF(V62:AE62,PVO!A$13),ETAPP!A$1:A$32,0))&amp;INDEX(ETAPP!B$1:B$32,MATCH(COUNTIF(V62:AE62,PVO!A$14),ETAPP!A$1:A$32,0))&amp;INDEX(ETAPP!B$1:B$32,MATCH(COUNTIF(V62:AE62,PVO!A$15),ETAPP!A$1:A$32,0))&amp;INDEX(ETAPP!B$1:B$32,MATCH(COUNTIF(V62:AE62,PVO!A$16),ETAPP!A$1:A$32,0))&amp;INDEX(ETAPP!B$1:B$32,MATCH(COUNTIF(V62:AE62,PVO!A$17),ETAPP!A$1:A$32,0))&amp;INDEX(ETAPP!B$1:B$32,MATCH(COUNTIF(V62:AE62,PVO!A$18),ETAPP!A$1:A$32,0))&amp;INDEX(ETAPP!B$1:B$32,MATCH(COUNTIF(V62:AE62,PVO!A$19),ETAPP!A$1:A$32,0))&amp;INDEX(ETAPP!B$1:B$32,MATCH(COUNTIF(V62:AE62,PVO!A$20),ETAPP!A$1:A$32,0))&amp;INDEX(ETAPP!B$1:B$32,MATCH(COUNTIF(V62:AE62,PVO!A$21),ETAPP!A$1:A$32,0))&amp;INDEX(ETAPP!B$1:B$32,MATCH(COUNTIF(V62:AE62,PVO!A$22),ETAPP!A$1:A$32,0))</f>
        <v>00000000000000000A000D</v>
      </c>
      <c r="P62" s="268" t="str">
        <f t="shared" si="11"/>
        <v>003,0-00000000000000000A000D</v>
      </c>
      <c r="Q62" s="268">
        <f>COUNTIF(P$7:P$66,"&gt;="&amp;P62)</f>
        <v>56</v>
      </c>
      <c r="R62" s="268">
        <f>COUNTIF(I$7:I$66,"&gt;="&amp;I62)</f>
        <v>4</v>
      </c>
      <c r="S62" s="268" t="str">
        <f t="shared" si="12"/>
        <v>003,0-00000000000000000A000D-004</v>
      </c>
      <c r="T62" s="268">
        <f>COUNTIF(S$7:S$66,"&gt;="&amp;S62)</f>
        <v>56</v>
      </c>
      <c r="U62" s="832">
        <f>RANK(T62,T$7:T$66,0)</f>
        <v>5</v>
      </c>
      <c r="V62" s="210" t="str">
        <f>IFERROR(INDEX('V1'!C$300:C$400,MATCH("*"&amp;I62&amp;"*",'V1'!B$300:B$400,0)),"  ")</f>
        <v xml:space="preserve">  </v>
      </c>
      <c r="W62" s="210" t="str">
        <f>IFERROR(INDEX('V2'!C$300:C$400,MATCH("*"&amp;I62&amp;"*",'V2'!B$300:B$400,0)),"  ")</f>
        <v xml:space="preserve">  </v>
      </c>
      <c r="X62" s="210" t="str">
        <f>IFERROR(INDEX('V3'!C$300:C$400,MATCH("*"&amp;I62&amp;"*",'V3'!B$300:B$400,0)),"  ")</f>
        <v xml:space="preserve">  </v>
      </c>
      <c r="Y62" s="210" t="str">
        <f>IFERROR(INDEX('V4'!C$300:C$400,MATCH("*"&amp;I62&amp;"*",'V4'!B$300:B$400,0)),"  ")</f>
        <v xml:space="preserve">  </v>
      </c>
      <c r="Z62" s="210" t="str">
        <f>IFERROR(INDEX('V5'!C$300:C$400,MATCH("*"&amp;I62&amp;"*",'V5'!B$300:B$400,0)),"  ")</f>
        <v xml:space="preserve">  </v>
      </c>
      <c r="AA62" s="210" t="str">
        <f>IFERROR(INDEX('V6'!C$300:C$400,MATCH("*"&amp;I62&amp;"*",'V6'!B$300:B$400,0)),"  ")</f>
        <v xml:space="preserve">  </v>
      </c>
      <c r="AB62" s="210" t="str">
        <f>IFERROR(INDEX('V7'!C$300:C$400,MATCH("*"&amp;I62&amp;"*",'V7'!B$300:B$400,0)),"  ")</f>
        <v xml:space="preserve">  </v>
      </c>
      <c r="AC62" s="210">
        <f>IFERROR(INDEX('V8'!C$300:C$400,MATCH("*"&amp;I62&amp;"*",'V8'!B$300:B$400,0)),"  ")</f>
        <v>3</v>
      </c>
      <c r="AD62" s="210" t="str">
        <f>IFERROR(INDEX('V9'!C$300:C$400,MATCH("*"&amp;I62&amp;"*",'V9'!B$300:B$400,0)),"  ")</f>
        <v xml:space="preserve">  </v>
      </c>
      <c r="AE62" s="210" t="str">
        <f>IFERROR(INDEX('V10'!C$300:C$400,MATCH("*"&amp;I62&amp;"*",'V10'!B$300:B$400,0)),"  ")</f>
        <v xml:space="preserve">  </v>
      </c>
      <c r="AF62" s="211">
        <f t="shared" si="13"/>
        <v>0</v>
      </c>
      <c r="AG62" s="211" t="str">
        <f t="shared" si="8"/>
        <v/>
      </c>
      <c r="AH62" s="1362" t="str">
        <f>IFERROR(IF(COUNTIF(V62:AE62,"&gt;0")&gt;=3,"edasi ","puudu "&amp;3-COUNT(V62:AE62))&amp;IF(OR(COUNTIF(V62:AE62,"&gt;0")&lt;3,COUNTIF(AE$7:AE$66,"&gt;0")=0),"",RANK(AG62,AG$7:AG$66,0)),"")</f>
        <v>puudu 2</v>
      </c>
      <c r="AI62" s="959" t="str">
        <f>IFERROR(INDEX('V-Fin'!A$300:A$325,MATCH(I62,'V-Fin'!B$300:B$325,0)),"")</f>
        <v/>
      </c>
      <c r="AJ62" s="214">
        <f t="shared" si="14"/>
        <v>1</v>
      </c>
      <c r="AK62" s="212">
        <f>IFERROR(IF(V62+1&gt;LARGE(V$7:V$66,1)-2,1),0)+IFERROR(IF(W62+1&gt;LARGE(W$7:W$66,1)-2,1),0)+IFERROR(IF(X62+1&gt;LARGE(X$7:X$66,1)-2,1),0)+IFERROR(IF(Y62+1&gt;LARGE(Y$7:Y$66,1)-2,1),0)+IFERROR(IF(Z62+1&gt;LARGE(Z$7:Z$66,1)-2,1),0)+IFERROR(IF(AA62+1&gt;LARGE(AA$7:AA$66,1)-2,1),0)+IFERROR(IF(AB62+1&gt;LARGE(AB$7:AB$66,1)-2,1),0)+IFERROR(IF(AC62+1&gt;LARGE(AC$7:AC$66,1)-2,1),0)+IFERROR(IF(AD62+1&gt;LARGE(AD$7:AD$66,1)-2,1),0)+IFERROR(IF(AE62+1&gt;LARGE(AE$7:AE$66,1)-2,1),0)</f>
        <v>0</v>
      </c>
      <c r="AL62" s="212">
        <f>IF(V62=0,0,IF(V62=IFERROR(LARGE(V$7:V$66,1),0),1,0))+IF(W62=0,0,IF(W62=IFERROR(LARGE(W$7:W$66,1),0),1,0))+IF(X62=0,0,IF(X62=IFERROR(LARGE(X$7:X$66,1),0),1,0))+IF(Y62=0,0,IF(Y62=IFERROR(LARGE(Y$7:Y$66,1),0),1,0))+IF(Z62=0,0,IF(Z62=IFERROR(LARGE(Z$7:Z$66,1),0),1,0))+IF(AA62=0,0,IF(AA62=IFERROR(LARGE(AA$7:AA$66,1),0),1,0))+IF(AB62=0,0,IF(AB62=IFERROR(LARGE(AB$7:AB$66,1),0),1,0))+IF(AC62=0,0,IF(AC62=IFERROR(LARGE(AC$7:AC$66,1),0),1,0))+IF(AD62=0,0,IF(AD62=IFERROR(LARGE(AD$7:AD$66,1),0),1,0))+IF(AE62=0,0,IF(AE62=IFERROR(LARGE(AE$7:AE$66,1),0),1,0))</f>
        <v>0</v>
      </c>
    </row>
    <row r="63" spans="1:38" x14ac:dyDescent="0.2">
      <c r="A63" s="1026">
        <f>IF(M63="k",RANK(B63,B$7:B$66,0),"")</f>
        <v>24</v>
      </c>
      <c r="B63" s="266">
        <f t="shared" si="9"/>
        <v>10002</v>
      </c>
      <c r="C63" s="944"/>
      <c r="D63" s="1029" t="str">
        <f>IF(J63="n",RANK(E63,E$7:E$66,0),"")</f>
        <v/>
      </c>
      <c r="E63" s="1028">
        <f t="shared" si="6"/>
        <v>0</v>
      </c>
      <c r="F63" s="1025" t="str">
        <f>IF(K63="j",RANK(G63,G$7:G$66,0),"")</f>
        <v/>
      </c>
      <c r="G63" s="266">
        <f t="shared" si="7"/>
        <v>0</v>
      </c>
      <c r="H63" s="209">
        <f>IF(N63&gt;0,RANK(Q63,Q$7:Q$66,1),"")</f>
        <v>57</v>
      </c>
      <c r="I63" s="626" t="s">
        <v>656</v>
      </c>
      <c r="J63" s="627"/>
      <c r="K63" s="780"/>
      <c r="L63" s="1381"/>
      <c r="M63" s="628" t="s">
        <v>187</v>
      </c>
      <c r="N63" s="1019">
        <f t="shared" si="10"/>
        <v>2</v>
      </c>
      <c r="O63" s="268" t="str">
        <f>INDEX(ETAPP!B$1:B$32,MATCH(COUNTIF(V63:AE63,PVO!A$1),ETAPP!A$1:A$32,0))&amp;INDEX(ETAPP!B$1:B$32,MATCH(COUNTIF(V63:AE63,PVO!A$2),ETAPP!A$1:A$32,0))&amp;INDEX(ETAPP!B$1:B$32,MATCH(COUNTIF(V63:AE63,PVO!A$3),ETAPP!A$1:A$32,0))&amp;INDEX(ETAPP!B$1:B$32,MATCH(COUNTIF(V63:AE63,PVO!A$4),ETAPP!A$1:A$32,0))&amp;INDEX(ETAPP!B$1:B$32,MATCH(COUNTIF(V63:AE63,PVO!A$5),ETAPP!A$1:A$32,0))&amp;INDEX(ETAPP!B$1:B$32,MATCH(COUNTIF(V63:AE63,PVO!A$6),ETAPP!A$1:A$32,0))&amp;INDEX(ETAPP!B$1:B$32,MATCH(COUNTIF(V63:AE63,PVO!A$7),ETAPP!A$1:A$32,0))&amp;INDEX(ETAPP!B$1:B$32,MATCH(COUNTIF(V63:AE63,PVO!A$8),ETAPP!A$1:A$32,0))&amp;INDEX(ETAPP!B$1:B$32,MATCH(COUNTIF(V63:AE63,PVO!A$9),ETAPP!A$1:A$32,0))&amp;INDEX(ETAPP!B$1:B$32,MATCH(COUNTIF(V63:AE63,PVO!A$10),ETAPP!A$1:A$32,0))&amp;INDEX(ETAPP!B$1:B$32,MATCH(COUNTIF(V63:AE63,PVO!A$11),ETAPP!A$1:A$32,0))&amp;INDEX(ETAPP!B$1:B$32,MATCH(COUNTIF(V63:AE63,PVO!A$12),ETAPP!A$1:A$32,0))&amp;INDEX(ETAPP!B$1:B$32,MATCH(COUNTIF(V63:AE63,PVO!A$13),ETAPP!A$1:A$32,0))&amp;INDEX(ETAPP!B$1:B$32,MATCH(COUNTIF(V63:AE63,PVO!A$14),ETAPP!A$1:A$32,0))&amp;INDEX(ETAPP!B$1:B$32,MATCH(COUNTIF(V63:AE63,PVO!A$15),ETAPP!A$1:A$32,0))&amp;INDEX(ETAPP!B$1:B$32,MATCH(COUNTIF(V63:AE63,PVO!A$16),ETAPP!A$1:A$32,0))&amp;INDEX(ETAPP!B$1:B$32,MATCH(COUNTIF(V63:AE63,PVO!A$17),ETAPP!A$1:A$32,0))&amp;INDEX(ETAPP!B$1:B$32,MATCH(COUNTIF(V63:AE63,PVO!A$18),ETAPP!A$1:A$32,0))&amp;INDEX(ETAPP!B$1:B$32,MATCH(COUNTIF(V63:AE63,PVO!A$19),ETAPP!A$1:A$32,0))&amp;INDEX(ETAPP!B$1:B$32,MATCH(COUNTIF(V63:AE63,PVO!A$20),ETAPP!A$1:A$32,0))&amp;INDEX(ETAPP!B$1:B$32,MATCH(COUNTIF(V63:AE63,PVO!A$21),ETAPP!A$1:A$32,0))&amp;INDEX(ETAPP!B$1:B$32,MATCH(COUNTIF(V63:AE63,PVO!A$22),ETAPP!A$1:A$32,0))</f>
        <v>000000000000000000A00D</v>
      </c>
      <c r="P63" s="268" t="str">
        <f t="shared" si="11"/>
        <v>002,0-000000000000000000A00D</v>
      </c>
      <c r="Q63" s="268">
        <f>COUNTIF(P$7:P$66,"&gt;="&amp;P63)</f>
        <v>59</v>
      </c>
      <c r="R63" s="268">
        <f>COUNTIF(I$7:I$66,"&gt;="&amp;I63)</f>
        <v>46</v>
      </c>
      <c r="S63" s="268" t="str">
        <f t="shared" si="12"/>
        <v>002,0-000000000000000000A00D-046</v>
      </c>
      <c r="T63" s="268">
        <f>COUNTIF(S$7:S$66,"&gt;="&amp;S63)</f>
        <v>57</v>
      </c>
      <c r="U63" s="832">
        <f>RANK(T63,T$7:T$66,0)</f>
        <v>4</v>
      </c>
      <c r="V63" s="210" t="str">
        <f>IFERROR(INDEX('V1'!C$300:C$400,MATCH("*"&amp;I63&amp;"*",'V1'!B$300:B$400,0)),"  ")</f>
        <v xml:space="preserve">  </v>
      </c>
      <c r="W63" s="210" t="str">
        <f>IFERROR(INDEX('V2'!C$300:C$400,MATCH("*"&amp;I63&amp;"*",'V2'!B$300:B$400,0)),"  ")</f>
        <v xml:space="preserve">  </v>
      </c>
      <c r="X63" s="210" t="str">
        <f>IFERROR(INDEX('V3'!C$300:C$400,MATCH("*"&amp;I63&amp;"*",'V3'!B$300:B$400,0)),"  ")</f>
        <v xml:space="preserve">  </v>
      </c>
      <c r="Y63" s="210" t="str">
        <f>IFERROR(INDEX('V4'!C$300:C$400,MATCH("*"&amp;I63&amp;"*",'V4'!B$300:B$400,0)),"  ")</f>
        <v xml:space="preserve">  </v>
      </c>
      <c r="Z63" s="210" t="str">
        <f>IFERROR(INDEX('V5'!C$300:C$400,MATCH("*"&amp;I63&amp;"*",'V5'!B$300:B$400,0)),"  ")</f>
        <v xml:space="preserve">  </v>
      </c>
      <c r="AA63" s="210" t="str">
        <f>IFERROR(INDEX('V6'!C$300:C$400,MATCH("*"&amp;I63&amp;"*",'V6'!B$300:B$400,0)),"  ")</f>
        <v xml:space="preserve">  </v>
      </c>
      <c r="AB63" s="210" t="str">
        <f>IFERROR(INDEX('V7'!C$300:C$400,MATCH("*"&amp;I63&amp;"*",'V7'!B$300:B$400,0)),"  ")</f>
        <v xml:space="preserve">  </v>
      </c>
      <c r="AC63" s="210" t="str">
        <f>IFERROR(INDEX('V8'!C$300:C$400,MATCH("*"&amp;I63&amp;"*",'V8'!B$300:B$400,0)),"  ")</f>
        <v xml:space="preserve">  </v>
      </c>
      <c r="AD63" s="210">
        <f>IFERROR(INDEX('V9'!C$300:C$400,MATCH("*"&amp;I63&amp;"*",'V9'!B$300:B$400,0)),"  ")</f>
        <v>2</v>
      </c>
      <c r="AE63" s="210" t="str">
        <f>IFERROR(INDEX('V10'!C$300:C$400,MATCH("*"&amp;I63&amp;"*",'V10'!B$300:B$400,0)),"  ")</f>
        <v xml:space="preserve">  </v>
      </c>
      <c r="AF63" s="211">
        <f t="shared" si="13"/>
        <v>0</v>
      </c>
      <c r="AG63" s="211" t="str">
        <f t="shared" si="8"/>
        <v/>
      </c>
      <c r="AH63" s="1362" t="str">
        <f>IFERROR(IF(COUNTIF(V63:AE63,"&gt;0")&gt;=3,"edasi ","puudu "&amp;3-COUNT(V63:AE63))&amp;IF(OR(COUNTIF(V63:AE63,"&gt;0")&lt;3,COUNTIF(AE$7:AE$66,"&gt;0")=0),"",RANK(AG63,AG$7:AG$66,0)),"")</f>
        <v>puudu 2</v>
      </c>
      <c r="AI63" s="959" t="str">
        <f>IFERROR(INDEX('V-Fin'!A$300:A$325,MATCH(I63,'V-Fin'!B$300:B$325,0)),"")</f>
        <v/>
      </c>
      <c r="AJ63" s="214">
        <f t="shared" si="14"/>
        <v>1</v>
      </c>
      <c r="AK63" s="212">
        <f>IFERROR(IF(V63+1&gt;LARGE(V$7:V$66,1)-2,1),0)+IFERROR(IF(W63+1&gt;LARGE(W$7:W$66,1)-2,1),0)+IFERROR(IF(X63+1&gt;LARGE(X$7:X$66,1)-2,1),0)+IFERROR(IF(Y63+1&gt;LARGE(Y$7:Y$66,1)-2,1),0)+IFERROR(IF(Z63+1&gt;LARGE(Z$7:Z$66,1)-2,1),0)+IFERROR(IF(AA63+1&gt;LARGE(AA$7:AA$66,1)-2,1),0)+IFERROR(IF(AB63+1&gt;LARGE(AB$7:AB$66,1)-2,1),0)+IFERROR(IF(AC63+1&gt;LARGE(AC$7:AC$66,1)-2,1),0)+IFERROR(IF(AD63+1&gt;LARGE(AD$7:AD$66,1)-2,1),0)+IFERROR(IF(AE63+1&gt;LARGE(AE$7:AE$66,1)-2,1),0)</f>
        <v>0</v>
      </c>
      <c r="AL63" s="212">
        <f>IF(V63=0,0,IF(V63=IFERROR(LARGE(V$7:V$66,1),0),1,0))+IF(W63=0,0,IF(W63=IFERROR(LARGE(W$7:W$66,1),0),1,0))+IF(X63=0,0,IF(X63=IFERROR(LARGE(X$7:X$66,1),0),1,0))+IF(Y63=0,0,IF(Y63=IFERROR(LARGE(Y$7:Y$66,1),0),1,0))+IF(Z63=0,0,IF(Z63=IFERROR(LARGE(Z$7:Z$66,1),0),1,0))+IF(AA63=0,0,IF(AA63=IFERROR(LARGE(AA$7:AA$66,1),0),1,0))+IF(AB63=0,0,IF(AB63=IFERROR(LARGE(AB$7:AB$66,1),0),1,0))+IF(AC63=0,0,IF(AC63=IFERROR(LARGE(AC$7:AC$66,1),0),1,0))+IF(AD63=0,0,IF(AD63=IFERROR(LARGE(AD$7:AD$66,1),0),1,0))+IF(AE63=0,0,IF(AE63=IFERROR(LARGE(AE$7:AE$66,1),0),1,0))</f>
        <v>0</v>
      </c>
    </row>
    <row r="64" spans="1:38" x14ac:dyDescent="0.2">
      <c r="A64" s="1026">
        <f>IF(M64="k",RANK(B64,B$7:B$66,0),"")</f>
        <v>24</v>
      </c>
      <c r="B64" s="266">
        <f t="shared" si="9"/>
        <v>10002</v>
      </c>
      <c r="C64" s="944"/>
      <c r="D64" s="1029" t="str">
        <f>IF(J64="n",RANK(E64,E$7:E$66,0),"")</f>
        <v/>
      </c>
      <c r="E64" s="1028">
        <f t="shared" si="6"/>
        <v>0</v>
      </c>
      <c r="F64" s="1025" t="str">
        <f>IF(K64="j",RANK(G64,G$7:G$66,0),"")</f>
        <v/>
      </c>
      <c r="G64" s="266">
        <f t="shared" si="7"/>
        <v>0</v>
      </c>
      <c r="H64" s="209">
        <f>IF(N64&gt;0,RANK(Q64,Q$7:Q$66,1),"")</f>
        <v>57</v>
      </c>
      <c r="I64" s="626" t="s">
        <v>657</v>
      </c>
      <c r="J64" s="627"/>
      <c r="K64" s="780"/>
      <c r="L64" s="1381"/>
      <c r="M64" s="628" t="s">
        <v>187</v>
      </c>
      <c r="N64" s="1019">
        <f t="shared" si="10"/>
        <v>2</v>
      </c>
      <c r="O64" s="268" t="str">
        <f>INDEX(ETAPP!B$1:B$32,MATCH(COUNTIF(V64:AE64,PVO!A$1),ETAPP!A$1:A$32,0))&amp;INDEX(ETAPP!B$1:B$32,MATCH(COUNTIF(V64:AE64,PVO!A$2),ETAPP!A$1:A$32,0))&amp;INDEX(ETAPP!B$1:B$32,MATCH(COUNTIF(V64:AE64,PVO!A$3),ETAPP!A$1:A$32,0))&amp;INDEX(ETAPP!B$1:B$32,MATCH(COUNTIF(V64:AE64,PVO!A$4),ETAPP!A$1:A$32,0))&amp;INDEX(ETAPP!B$1:B$32,MATCH(COUNTIF(V64:AE64,PVO!A$5),ETAPP!A$1:A$32,0))&amp;INDEX(ETAPP!B$1:B$32,MATCH(COUNTIF(V64:AE64,PVO!A$6),ETAPP!A$1:A$32,0))&amp;INDEX(ETAPP!B$1:B$32,MATCH(COUNTIF(V64:AE64,PVO!A$7),ETAPP!A$1:A$32,0))&amp;INDEX(ETAPP!B$1:B$32,MATCH(COUNTIF(V64:AE64,PVO!A$8),ETAPP!A$1:A$32,0))&amp;INDEX(ETAPP!B$1:B$32,MATCH(COUNTIF(V64:AE64,PVO!A$9),ETAPP!A$1:A$32,0))&amp;INDEX(ETAPP!B$1:B$32,MATCH(COUNTIF(V64:AE64,PVO!A$10),ETAPP!A$1:A$32,0))&amp;INDEX(ETAPP!B$1:B$32,MATCH(COUNTIF(V64:AE64,PVO!A$11),ETAPP!A$1:A$32,0))&amp;INDEX(ETAPP!B$1:B$32,MATCH(COUNTIF(V64:AE64,PVO!A$12),ETAPP!A$1:A$32,0))&amp;INDEX(ETAPP!B$1:B$32,MATCH(COUNTIF(V64:AE64,PVO!A$13),ETAPP!A$1:A$32,0))&amp;INDEX(ETAPP!B$1:B$32,MATCH(COUNTIF(V64:AE64,PVO!A$14),ETAPP!A$1:A$32,0))&amp;INDEX(ETAPP!B$1:B$32,MATCH(COUNTIF(V64:AE64,PVO!A$15),ETAPP!A$1:A$32,0))&amp;INDEX(ETAPP!B$1:B$32,MATCH(COUNTIF(V64:AE64,PVO!A$16),ETAPP!A$1:A$32,0))&amp;INDEX(ETAPP!B$1:B$32,MATCH(COUNTIF(V64:AE64,PVO!A$17),ETAPP!A$1:A$32,0))&amp;INDEX(ETAPP!B$1:B$32,MATCH(COUNTIF(V64:AE64,PVO!A$18),ETAPP!A$1:A$32,0))&amp;INDEX(ETAPP!B$1:B$32,MATCH(COUNTIF(V64:AE64,PVO!A$19),ETAPP!A$1:A$32,0))&amp;INDEX(ETAPP!B$1:B$32,MATCH(COUNTIF(V64:AE64,PVO!A$20),ETAPP!A$1:A$32,0))&amp;INDEX(ETAPP!B$1:B$32,MATCH(COUNTIF(V64:AE64,PVO!A$21),ETAPP!A$1:A$32,0))&amp;INDEX(ETAPP!B$1:B$32,MATCH(COUNTIF(V64:AE64,PVO!A$22),ETAPP!A$1:A$32,0))</f>
        <v>000000000000000000A00D</v>
      </c>
      <c r="P64" s="268" t="str">
        <f t="shared" si="11"/>
        <v>002,0-000000000000000000A00D</v>
      </c>
      <c r="Q64" s="268">
        <f>COUNTIF(P$7:P$66,"&gt;="&amp;P64)</f>
        <v>59</v>
      </c>
      <c r="R64" s="268">
        <f>COUNTIF(I$7:I$66,"&gt;="&amp;I64)</f>
        <v>40</v>
      </c>
      <c r="S64" s="268" t="str">
        <f t="shared" si="12"/>
        <v>002,0-000000000000000000A00D-040</v>
      </c>
      <c r="T64" s="268">
        <f>COUNTIF(S$7:S$66,"&gt;="&amp;S64)</f>
        <v>58</v>
      </c>
      <c r="U64" s="832">
        <f>RANK(T64,T$7:T$66,0)</f>
        <v>3</v>
      </c>
      <c r="V64" s="210" t="str">
        <f>IFERROR(INDEX('V1'!C$300:C$400,MATCH("*"&amp;I64&amp;"*",'V1'!B$300:B$400,0)),"  ")</f>
        <v xml:space="preserve">  </v>
      </c>
      <c r="W64" s="210" t="str">
        <f>IFERROR(INDEX('V2'!C$300:C$400,MATCH("*"&amp;I64&amp;"*",'V2'!B$300:B$400,0)),"  ")</f>
        <v xml:space="preserve">  </v>
      </c>
      <c r="X64" s="210" t="str">
        <f>IFERROR(INDEX('V3'!C$300:C$400,MATCH("*"&amp;I64&amp;"*",'V3'!B$300:B$400,0)),"  ")</f>
        <v xml:space="preserve">  </v>
      </c>
      <c r="Y64" s="210" t="str">
        <f>IFERROR(INDEX('V4'!C$300:C$400,MATCH("*"&amp;I64&amp;"*",'V4'!B$300:B$400,0)),"  ")</f>
        <v xml:space="preserve">  </v>
      </c>
      <c r="Z64" s="210" t="str">
        <f>IFERROR(INDEX('V5'!C$300:C$400,MATCH("*"&amp;I64&amp;"*",'V5'!B$300:B$400,0)),"  ")</f>
        <v xml:space="preserve">  </v>
      </c>
      <c r="AA64" s="210" t="str">
        <f>IFERROR(INDEX('V6'!C$300:C$400,MATCH("*"&amp;I64&amp;"*",'V6'!B$300:B$400,0)),"  ")</f>
        <v xml:space="preserve">  </v>
      </c>
      <c r="AB64" s="210" t="str">
        <f>IFERROR(INDEX('V7'!C$300:C$400,MATCH("*"&amp;I64&amp;"*",'V7'!B$300:B$400,0)),"  ")</f>
        <v xml:space="preserve">  </v>
      </c>
      <c r="AC64" s="210" t="str">
        <f>IFERROR(INDEX('V8'!C$300:C$400,MATCH("*"&amp;I64&amp;"*",'V8'!B$300:B$400,0)),"  ")</f>
        <v xml:space="preserve">  </v>
      </c>
      <c r="AD64" s="210">
        <f>IFERROR(INDEX('V9'!C$300:C$400,MATCH("*"&amp;I64&amp;"*",'V9'!B$300:B$400,0)),"  ")</f>
        <v>2</v>
      </c>
      <c r="AE64" s="210" t="str">
        <f>IFERROR(INDEX('V10'!C$300:C$400,MATCH("*"&amp;I64&amp;"*",'V10'!B$300:B$400,0)),"  ")</f>
        <v xml:space="preserve">  </v>
      </c>
      <c r="AF64" s="211">
        <f t="shared" si="13"/>
        <v>0</v>
      </c>
      <c r="AG64" s="211" t="str">
        <f t="shared" si="8"/>
        <v/>
      </c>
      <c r="AH64" s="1362" t="str">
        <f>IFERROR(IF(COUNTIF(V64:AE64,"&gt;0")&gt;=3,"edasi ","puudu "&amp;3-COUNT(V64:AE64))&amp;IF(OR(COUNTIF(V64:AE64,"&gt;0")&lt;3,COUNTIF(AE$7:AE$66,"&gt;0")=0),"",RANK(AG64,AG$7:AG$66,0)),"")</f>
        <v>puudu 2</v>
      </c>
      <c r="AI64" s="959" t="str">
        <f>IFERROR(INDEX('V-Fin'!A$300:A$325,MATCH(I64,'V-Fin'!B$300:B$325,0)),"")</f>
        <v/>
      </c>
      <c r="AJ64" s="214">
        <f t="shared" si="14"/>
        <v>1</v>
      </c>
      <c r="AK64" s="212">
        <f>IFERROR(IF(V64+1&gt;LARGE(V$7:V$66,1)-2,1),0)+IFERROR(IF(W64+1&gt;LARGE(W$7:W$66,1)-2,1),0)+IFERROR(IF(X64+1&gt;LARGE(X$7:X$66,1)-2,1),0)+IFERROR(IF(Y64+1&gt;LARGE(Y$7:Y$66,1)-2,1),0)+IFERROR(IF(Z64+1&gt;LARGE(Z$7:Z$66,1)-2,1),0)+IFERROR(IF(AA64+1&gt;LARGE(AA$7:AA$66,1)-2,1),0)+IFERROR(IF(AB64+1&gt;LARGE(AB$7:AB$66,1)-2,1),0)+IFERROR(IF(AC64+1&gt;LARGE(AC$7:AC$66,1)-2,1),0)+IFERROR(IF(AD64+1&gt;LARGE(AD$7:AD$66,1)-2,1),0)+IFERROR(IF(AE64+1&gt;LARGE(AE$7:AE$66,1)-2,1),0)</f>
        <v>0</v>
      </c>
      <c r="AL64" s="212">
        <f>IF(V64=0,0,IF(V64=IFERROR(LARGE(V$7:V$66,1),0),1,0))+IF(W64=0,0,IF(W64=IFERROR(LARGE(W$7:W$66,1),0),1,0))+IF(X64=0,0,IF(X64=IFERROR(LARGE(X$7:X$66,1),0),1,0))+IF(Y64=0,0,IF(Y64=IFERROR(LARGE(Y$7:Y$66,1),0),1,0))+IF(Z64=0,0,IF(Z64=IFERROR(LARGE(Z$7:Z$66,1),0),1,0))+IF(AA64=0,0,IF(AA64=IFERROR(LARGE(AA$7:AA$66,1),0),1,0))+IF(AB64=0,0,IF(AB64=IFERROR(LARGE(AB$7:AB$66,1),0),1,0))+IF(AC64=0,0,IF(AC64=IFERROR(LARGE(AC$7:AC$66,1),0),1,0))+IF(AD64=0,0,IF(AD64=IFERROR(LARGE(AD$7:AD$66,1),0),1,0))+IF(AE64=0,0,IF(AE64=IFERROR(LARGE(AE$7:AE$66,1),0),1,0))</f>
        <v>0</v>
      </c>
    </row>
    <row r="65" spans="1:38" x14ac:dyDescent="0.2">
      <c r="A65" s="1026">
        <f>IF(M65="k",RANK(B65,B$7:B$66,0),"")</f>
        <v>24</v>
      </c>
      <c r="B65" s="266">
        <f t="shared" si="9"/>
        <v>10002</v>
      </c>
      <c r="C65" s="944"/>
      <c r="D65" s="1029" t="str">
        <f>IF(J65="n",RANK(E65,E$7:E$66,0),"")</f>
        <v/>
      </c>
      <c r="E65" s="1028">
        <f t="shared" si="6"/>
        <v>0</v>
      </c>
      <c r="F65" s="1025" t="str">
        <f>IF(K65="j",RANK(G65,G$7:G$66,0),"")</f>
        <v/>
      </c>
      <c r="G65" s="266">
        <f t="shared" si="7"/>
        <v>0</v>
      </c>
      <c r="H65" s="209">
        <f>IF(N65&gt;0,RANK(Q65,Q$7:Q$66,1),"")</f>
        <v>57</v>
      </c>
      <c r="I65" s="626" t="s">
        <v>658</v>
      </c>
      <c r="J65" s="627"/>
      <c r="K65" s="780"/>
      <c r="L65" s="1381"/>
      <c r="M65" s="628" t="s">
        <v>187</v>
      </c>
      <c r="N65" s="1019">
        <f t="shared" si="10"/>
        <v>2</v>
      </c>
      <c r="O65" s="268" t="str">
        <f>INDEX(ETAPP!B$1:B$32,MATCH(COUNTIF(V65:AE65,PVO!A$1),ETAPP!A$1:A$32,0))&amp;INDEX(ETAPP!B$1:B$32,MATCH(COUNTIF(V65:AE65,PVO!A$2),ETAPP!A$1:A$32,0))&amp;INDEX(ETAPP!B$1:B$32,MATCH(COUNTIF(V65:AE65,PVO!A$3),ETAPP!A$1:A$32,0))&amp;INDEX(ETAPP!B$1:B$32,MATCH(COUNTIF(V65:AE65,PVO!A$4),ETAPP!A$1:A$32,0))&amp;INDEX(ETAPP!B$1:B$32,MATCH(COUNTIF(V65:AE65,PVO!A$5),ETAPP!A$1:A$32,0))&amp;INDEX(ETAPP!B$1:B$32,MATCH(COUNTIF(V65:AE65,PVO!A$6),ETAPP!A$1:A$32,0))&amp;INDEX(ETAPP!B$1:B$32,MATCH(COUNTIF(V65:AE65,PVO!A$7),ETAPP!A$1:A$32,0))&amp;INDEX(ETAPP!B$1:B$32,MATCH(COUNTIF(V65:AE65,PVO!A$8),ETAPP!A$1:A$32,0))&amp;INDEX(ETAPP!B$1:B$32,MATCH(COUNTIF(V65:AE65,PVO!A$9),ETAPP!A$1:A$32,0))&amp;INDEX(ETAPP!B$1:B$32,MATCH(COUNTIF(V65:AE65,PVO!A$10),ETAPP!A$1:A$32,0))&amp;INDEX(ETAPP!B$1:B$32,MATCH(COUNTIF(V65:AE65,PVO!A$11),ETAPP!A$1:A$32,0))&amp;INDEX(ETAPP!B$1:B$32,MATCH(COUNTIF(V65:AE65,PVO!A$12),ETAPP!A$1:A$32,0))&amp;INDEX(ETAPP!B$1:B$32,MATCH(COUNTIF(V65:AE65,PVO!A$13),ETAPP!A$1:A$32,0))&amp;INDEX(ETAPP!B$1:B$32,MATCH(COUNTIF(V65:AE65,PVO!A$14),ETAPP!A$1:A$32,0))&amp;INDEX(ETAPP!B$1:B$32,MATCH(COUNTIF(V65:AE65,PVO!A$15),ETAPP!A$1:A$32,0))&amp;INDEX(ETAPP!B$1:B$32,MATCH(COUNTIF(V65:AE65,PVO!A$16),ETAPP!A$1:A$32,0))&amp;INDEX(ETAPP!B$1:B$32,MATCH(COUNTIF(V65:AE65,PVO!A$17),ETAPP!A$1:A$32,0))&amp;INDEX(ETAPP!B$1:B$32,MATCH(COUNTIF(V65:AE65,PVO!A$18),ETAPP!A$1:A$32,0))&amp;INDEX(ETAPP!B$1:B$32,MATCH(COUNTIF(V65:AE65,PVO!A$19),ETAPP!A$1:A$32,0))&amp;INDEX(ETAPP!B$1:B$32,MATCH(COUNTIF(V65:AE65,PVO!A$20),ETAPP!A$1:A$32,0))&amp;INDEX(ETAPP!B$1:B$32,MATCH(COUNTIF(V65:AE65,PVO!A$21),ETAPP!A$1:A$32,0))&amp;INDEX(ETAPP!B$1:B$32,MATCH(COUNTIF(V65:AE65,PVO!A$22),ETAPP!A$1:A$32,0))</f>
        <v>000000000000000000A00D</v>
      </c>
      <c r="P65" s="268" t="str">
        <f t="shared" si="11"/>
        <v>002,0-000000000000000000A00D</v>
      </c>
      <c r="Q65" s="268">
        <f>COUNTIF(P$7:P$66,"&gt;="&amp;P65)</f>
        <v>59</v>
      </c>
      <c r="R65" s="268">
        <f>COUNTIF(I$7:I$66,"&gt;="&amp;I65)</f>
        <v>31</v>
      </c>
      <c r="S65" s="268" t="str">
        <f t="shared" si="12"/>
        <v>002,0-000000000000000000A00D-031</v>
      </c>
      <c r="T65" s="268">
        <f>COUNTIF(S$7:S$66,"&gt;="&amp;S65)</f>
        <v>59</v>
      </c>
      <c r="U65" s="832">
        <f>RANK(T65,T$7:T$66,0)</f>
        <v>2</v>
      </c>
      <c r="V65" s="210" t="str">
        <f>IFERROR(INDEX('V1'!C$300:C$400,MATCH("*"&amp;I65&amp;"*",'V1'!B$300:B$400,0)),"  ")</f>
        <v xml:space="preserve">  </v>
      </c>
      <c r="W65" s="210" t="str">
        <f>IFERROR(INDEX('V2'!C$300:C$400,MATCH("*"&amp;I65&amp;"*",'V2'!B$300:B$400,0)),"  ")</f>
        <v xml:space="preserve">  </v>
      </c>
      <c r="X65" s="210" t="str">
        <f>IFERROR(INDEX('V3'!C$300:C$400,MATCH("*"&amp;I65&amp;"*",'V3'!B$300:B$400,0)),"  ")</f>
        <v xml:space="preserve">  </v>
      </c>
      <c r="Y65" s="210" t="str">
        <f>IFERROR(INDEX('V4'!C$300:C$400,MATCH("*"&amp;I65&amp;"*",'V4'!B$300:B$400,0)),"  ")</f>
        <v xml:space="preserve">  </v>
      </c>
      <c r="Z65" s="210" t="str">
        <f>IFERROR(INDEX('V5'!C$300:C$400,MATCH("*"&amp;I65&amp;"*",'V5'!B$300:B$400,0)),"  ")</f>
        <v xml:space="preserve">  </v>
      </c>
      <c r="AA65" s="210" t="str">
        <f>IFERROR(INDEX('V6'!C$300:C$400,MATCH("*"&amp;I65&amp;"*",'V6'!B$300:B$400,0)),"  ")</f>
        <v xml:space="preserve">  </v>
      </c>
      <c r="AB65" s="210" t="str">
        <f>IFERROR(INDEX('V7'!C$300:C$400,MATCH("*"&amp;I65&amp;"*",'V7'!B$300:B$400,0)),"  ")</f>
        <v xml:space="preserve">  </v>
      </c>
      <c r="AC65" s="210" t="str">
        <f>IFERROR(INDEX('V8'!C$300:C$400,MATCH("*"&amp;I65&amp;"*",'V8'!B$300:B$400,0)),"  ")</f>
        <v xml:space="preserve">  </v>
      </c>
      <c r="AD65" s="210">
        <f>IFERROR(INDEX('V9'!C$300:C$400,MATCH("*"&amp;I65&amp;"*",'V9'!B$300:B$400,0)),"  ")</f>
        <v>2</v>
      </c>
      <c r="AE65" s="210" t="str">
        <f>IFERROR(INDEX('V10'!C$300:C$400,MATCH("*"&amp;I65&amp;"*",'V10'!B$300:B$400,0)),"  ")</f>
        <v xml:space="preserve">  </v>
      </c>
      <c r="AF65" s="211">
        <f t="shared" si="13"/>
        <v>0</v>
      </c>
      <c r="AG65" s="211" t="str">
        <f t="shared" si="8"/>
        <v/>
      </c>
      <c r="AH65" s="1362" t="str">
        <f>IFERROR(IF(COUNTIF(V65:AE65,"&gt;0")&gt;=3,"edasi ","puudu "&amp;3-COUNT(V65:AE65))&amp;IF(OR(COUNTIF(V65:AE65,"&gt;0")&lt;3,COUNTIF(AE$7:AE$66,"&gt;0")=0),"",RANK(AG65,AG$7:AG$66,0)),"")</f>
        <v>puudu 2</v>
      </c>
      <c r="AI65" s="959" t="str">
        <f>IFERROR(INDEX('V-Fin'!A$300:A$325,MATCH(I65,'V-Fin'!B$300:B$325,0)),"")</f>
        <v/>
      </c>
      <c r="AJ65" s="214">
        <f t="shared" si="14"/>
        <v>1</v>
      </c>
      <c r="AK65" s="212">
        <f>IFERROR(IF(V65+1&gt;LARGE(V$7:V$66,1)-2,1),0)+IFERROR(IF(W65+1&gt;LARGE(W$7:W$66,1)-2,1),0)+IFERROR(IF(X65+1&gt;LARGE(X$7:X$66,1)-2,1),0)+IFERROR(IF(Y65+1&gt;LARGE(Y$7:Y$66,1)-2,1),0)+IFERROR(IF(Z65+1&gt;LARGE(Z$7:Z$66,1)-2,1),0)+IFERROR(IF(AA65+1&gt;LARGE(AA$7:AA$66,1)-2,1),0)+IFERROR(IF(AB65+1&gt;LARGE(AB$7:AB$66,1)-2,1),0)+IFERROR(IF(AC65+1&gt;LARGE(AC$7:AC$66,1)-2,1),0)+IFERROR(IF(AD65+1&gt;LARGE(AD$7:AD$66,1)-2,1),0)+IFERROR(IF(AE65+1&gt;LARGE(AE$7:AE$66,1)-2,1),0)</f>
        <v>0</v>
      </c>
      <c r="AL65" s="212">
        <f>IF(V65=0,0,IF(V65=IFERROR(LARGE(V$7:V$66,1),0),1,0))+IF(W65=0,0,IF(W65=IFERROR(LARGE(W$7:W$66,1),0),1,0))+IF(X65=0,0,IF(X65=IFERROR(LARGE(X$7:X$66,1),0),1,0))+IF(Y65=0,0,IF(Y65=IFERROR(LARGE(Y$7:Y$66,1),0),1,0))+IF(Z65=0,0,IF(Z65=IFERROR(LARGE(Z$7:Z$66,1),0),1,0))+IF(AA65=0,0,IF(AA65=IFERROR(LARGE(AA$7:AA$66,1),0),1,0))+IF(AB65=0,0,IF(AB65=IFERROR(LARGE(AB$7:AB$66,1),0),1,0))+IF(AC65=0,0,IF(AC65=IFERROR(LARGE(AC$7:AC$66,1),0),1,0))+IF(AD65=0,0,IF(AD65=IFERROR(LARGE(AD$7:AD$66,1),0),1,0))+IF(AE65=0,0,IF(AE65=IFERROR(LARGE(AE$7:AE$66,1),0),1,0))</f>
        <v>0</v>
      </c>
    </row>
    <row r="66" spans="1:38" x14ac:dyDescent="0.2">
      <c r="A66" s="1026">
        <f>IF(M66="k",RANK(B66,B$7:B$66,0),"")</f>
        <v>27</v>
      </c>
      <c r="B66" s="266">
        <f t="shared" si="9"/>
        <v>10001</v>
      </c>
      <c r="C66" s="944"/>
      <c r="D66" s="1029" t="str">
        <f>IF(J66="n",RANK(E66,E$7:E$66,0),"")</f>
        <v/>
      </c>
      <c r="E66" s="1028">
        <f t="shared" si="6"/>
        <v>0</v>
      </c>
      <c r="F66" s="1025" t="str">
        <f>IF(K66="j",RANK(G66,G$7:G$66,0),"")</f>
        <v/>
      </c>
      <c r="G66" s="266">
        <f t="shared" si="7"/>
        <v>0</v>
      </c>
      <c r="H66" s="209">
        <f>IF(N66&gt;0,RANK(Q66,Q$7:Q$66,1),"")</f>
        <v>60</v>
      </c>
      <c r="I66" s="213" t="s">
        <v>606</v>
      </c>
      <c r="J66" s="269"/>
      <c r="K66" s="270"/>
      <c r="L66" s="1381"/>
      <c r="M66" s="274" t="s">
        <v>187</v>
      </c>
      <c r="N66" s="1019">
        <f t="shared" si="10"/>
        <v>1</v>
      </c>
      <c r="O66" s="268" t="str">
        <f>INDEX(ETAPP!B$1:B$32,MATCH(COUNTIF(V66:AE66,PVO!A$1),ETAPP!A$1:A$32,0))&amp;INDEX(ETAPP!B$1:B$32,MATCH(COUNTIF(V66:AE66,PVO!A$2),ETAPP!A$1:A$32,0))&amp;INDEX(ETAPP!B$1:B$32,MATCH(COUNTIF(V66:AE66,PVO!A$3),ETAPP!A$1:A$32,0))&amp;INDEX(ETAPP!B$1:B$32,MATCH(COUNTIF(V66:AE66,PVO!A$4),ETAPP!A$1:A$32,0))&amp;INDEX(ETAPP!B$1:B$32,MATCH(COUNTIF(V66:AE66,PVO!A$5),ETAPP!A$1:A$32,0))&amp;INDEX(ETAPP!B$1:B$32,MATCH(COUNTIF(V66:AE66,PVO!A$6),ETAPP!A$1:A$32,0))&amp;INDEX(ETAPP!B$1:B$32,MATCH(COUNTIF(V66:AE66,PVO!A$7),ETAPP!A$1:A$32,0))&amp;INDEX(ETAPP!B$1:B$32,MATCH(COUNTIF(V66:AE66,PVO!A$8),ETAPP!A$1:A$32,0))&amp;INDEX(ETAPP!B$1:B$32,MATCH(COUNTIF(V66:AE66,PVO!A$9),ETAPP!A$1:A$32,0))&amp;INDEX(ETAPP!B$1:B$32,MATCH(COUNTIF(V66:AE66,PVO!A$10),ETAPP!A$1:A$32,0))&amp;INDEX(ETAPP!B$1:B$32,MATCH(COUNTIF(V66:AE66,PVO!A$11),ETAPP!A$1:A$32,0))&amp;INDEX(ETAPP!B$1:B$32,MATCH(COUNTIF(V66:AE66,PVO!A$12),ETAPP!A$1:A$32,0))&amp;INDEX(ETAPP!B$1:B$32,MATCH(COUNTIF(V66:AE66,PVO!A$13),ETAPP!A$1:A$32,0))&amp;INDEX(ETAPP!B$1:B$32,MATCH(COUNTIF(V66:AE66,PVO!A$14),ETAPP!A$1:A$32,0))&amp;INDEX(ETAPP!B$1:B$32,MATCH(COUNTIF(V66:AE66,PVO!A$15),ETAPP!A$1:A$32,0))&amp;INDEX(ETAPP!B$1:B$32,MATCH(COUNTIF(V66:AE66,PVO!A$16),ETAPP!A$1:A$32,0))&amp;INDEX(ETAPP!B$1:B$32,MATCH(COUNTIF(V66:AE66,PVO!A$17),ETAPP!A$1:A$32,0))&amp;INDEX(ETAPP!B$1:B$32,MATCH(COUNTIF(V66:AE66,PVO!A$18),ETAPP!A$1:A$32,0))&amp;INDEX(ETAPP!B$1:B$32,MATCH(COUNTIF(V66:AE66,PVO!A$19),ETAPP!A$1:A$32,0))&amp;INDEX(ETAPP!B$1:B$32,MATCH(COUNTIF(V66:AE66,PVO!A$20),ETAPP!A$1:A$32,0))&amp;INDEX(ETAPP!B$1:B$32,MATCH(COUNTIF(V66:AE66,PVO!A$21),ETAPP!A$1:A$32,0))&amp;INDEX(ETAPP!B$1:B$32,MATCH(COUNTIF(V66:AE66,PVO!A$22),ETAPP!A$1:A$32,0))</f>
        <v>0000000000000000000A0D</v>
      </c>
      <c r="P66" s="268" t="str">
        <f t="shared" si="11"/>
        <v>001,0-0000000000000000000A0D</v>
      </c>
      <c r="Q66" s="268">
        <f>COUNTIF(P$7:P$66,"&gt;="&amp;P66)</f>
        <v>60</v>
      </c>
      <c r="R66" s="268">
        <f>COUNTIF(I$7:I$66,"&gt;="&amp;I66)</f>
        <v>18</v>
      </c>
      <c r="S66" s="268" t="str">
        <f t="shared" si="12"/>
        <v>001,0-0000000000000000000A0D-018</v>
      </c>
      <c r="T66" s="268">
        <f>COUNTIF(S$7:S$66,"&gt;="&amp;S66)</f>
        <v>60</v>
      </c>
      <c r="U66" s="832">
        <f>RANK(T66,T$7:T$66,0)</f>
        <v>1</v>
      </c>
      <c r="V66" s="210" t="str">
        <f>IFERROR(INDEX('V1'!C$300:C$400,MATCH("*"&amp;I66&amp;"*",'V1'!B$300:B$400,0)),"  ")</f>
        <v xml:space="preserve">  </v>
      </c>
      <c r="W66" s="210" t="str">
        <f>IFERROR(INDEX('V2'!C$300:C$400,MATCH("*"&amp;I66&amp;"*",'V2'!B$300:B$400,0)),"  ")</f>
        <v xml:space="preserve">  </v>
      </c>
      <c r="X66" s="210" t="str">
        <f>IFERROR(INDEX('V3'!C$300:C$400,MATCH("*"&amp;I66&amp;"*",'V3'!B$300:B$400,0)),"  ")</f>
        <v xml:space="preserve">  </v>
      </c>
      <c r="Y66" s="210" t="str">
        <f>IFERROR(INDEX('V4'!C$300:C$400,MATCH("*"&amp;I66&amp;"*",'V4'!B$300:B$400,0)),"  ")</f>
        <v xml:space="preserve">  </v>
      </c>
      <c r="Z66" s="210" t="str">
        <f>IFERROR(INDEX('V5'!C$300:C$400,MATCH("*"&amp;I66&amp;"*",'V5'!B$300:B$400,0)),"  ")</f>
        <v xml:space="preserve">  </v>
      </c>
      <c r="AA66" s="210" t="str">
        <f>IFERROR(INDEX('V6'!C$300:C$400,MATCH("*"&amp;I66&amp;"*",'V6'!B$300:B$400,0)),"  ")</f>
        <v xml:space="preserve">  </v>
      </c>
      <c r="AB66" s="210">
        <f>IFERROR(INDEX('V7'!C$300:C$400,MATCH("*"&amp;I66&amp;"*",'V7'!B$300:B$400,0)),"  ")</f>
        <v>1</v>
      </c>
      <c r="AC66" s="210" t="str">
        <f>IFERROR(INDEX('V8'!C$300:C$400,MATCH("*"&amp;I66&amp;"*",'V8'!B$300:B$400,0)),"  ")</f>
        <v xml:space="preserve">  </v>
      </c>
      <c r="AD66" s="210" t="str">
        <f>IFERROR(INDEX('V9'!C$300:C$400,MATCH("*"&amp;I66&amp;"*",'V9'!B$300:B$400,0)),"  ")</f>
        <v xml:space="preserve">  </v>
      </c>
      <c r="AE66" s="210" t="str">
        <f>IFERROR(INDEX('V10'!C$300:C$400,MATCH("*"&amp;I66&amp;"*",'V10'!B$300:B$400,0)),"  ")</f>
        <v xml:space="preserve">  </v>
      </c>
      <c r="AF66" s="211">
        <f t="shared" si="13"/>
        <v>0</v>
      </c>
      <c r="AG66" s="211" t="str">
        <f t="shared" si="8"/>
        <v/>
      </c>
      <c r="AH66" s="1362" t="str">
        <f>IFERROR(IF(COUNTIF(V66:AE66,"&gt;0")&gt;=3,"edasi ","puudu "&amp;3-COUNT(V66:AE66))&amp;IF(OR(COUNTIF(V66:AE66,"&gt;0")&lt;3,COUNTIF(AE$7:AE$66,"&gt;0")=0),"",RANK(AG66,AG$7:AG$66,0)),"")</f>
        <v>puudu 2</v>
      </c>
      <c r="AI66" s="959" t="str">
        <f>IFERROR(INDEX('V-Fin'!A$300:A$325,MATCH(I66,'V-Fin'!B$300:B$325,0)),"")</f>
        <v/>
      </c>
      <c r="AJ66" s="214">
        <f t="shared" si="14"/>
        <v>1</v>
      </c>
      <c r="AK66" s="212">
        <f>IFERROR(IF(V66+1&gt;LARGE(V$7:V$66,1)-2,1),0)+IFERROR(IF(W66+1&gt;LARGE(W$7:W$66,1)-2,1),0)+IFERROR(IF(X66+1&gt;LARGE(X$7:X$66,1)-2,1),0)+IFERROR(IF(Y66+1&gt;LARGE(Y$7:Y$66,1)-2,1),0)+IFERROR(IF(Z66+1&gt;LARGE(Z$7:Z$66,1)-2,1),0)+IFERROR(IF(AA66+1&gt;LARGE(AA$7:AA$66,1)-2,1),0)+IFERROR(IF(AB66+1&gt;LARGE(AB$7:AB$66,1)-2,1),0)+IFERROR(IF(AC66+1&gt;LARGE(AC$7:AC$66,1)-2,1),0)+IFERROR(IF(AD66+1&gt;LARGE(AD$7:AD$66,1)-2,1),0)+IFERROR(IF(AE66+1&gt;LARGE(AE$7:AE$66,1)-2,1),0)</f>
        <v>0</v>
      </c>
      <c r="AL66" s="212">
        <f>IF(V66=0,0,IF(V66=IFERROR(LARGE(V$7:V$66,1),0),1,0))+IF(W66=0,0,IF(W66=IFERROR(LARGE(W$7:W$66,1),0),1,0))+IF(X66=0,0,IF(X66=IFERROR(LARGE(X$7:X$66,1),0),1,0))+IF(Y66=0,0,IF(Y66=IFERROR(LARGE(Y$7:Y$66,1),0),1,0))+IF(Z66=0,0,IF(Z66=IFERROR(LARGE(Z$7:Z$66,1),0),1,0))+IF(AA66=0,0,IF(AA66=IFERROR(LARGE(AA$7:AA$66,1),0),1,0))+IF(AB66=0,0,IF(AB66=IFERROR(LARGE(AB$7:AB$66,1),0),1,0))+IF(AC66=0,0,IF(AC66=IFERROR(LARGE(AC$7:AC$66,1),0),1,0))+IF(AD66=0,0,IF(AD66=IFERROR(LARGE(AD$7:AD$66,1),0),1,0))+IF(AE66=0,0,IF(AE66=IFERROR(LARGE(AE$7:AE$66,1),0),1,0))</f>
        <v>0</v>
      </c>
    </row>
    <row r="67" spans="1:38" x14ac:dyDescent="0.2">
      <c r="A67" s="1032">
        <f>COUNTIF(B7:B66,"&gt;10000")</f>
        <v>27</v>
      </c>
      <c r="B67" s="215"/>
      <c r="C67" s="940"/>
      <c r="D67" s="941">
        <f>COUNTIF(E7:E66,"&gt;10000")</f>
        <v>11</v>
      </c>
      <c r="E67" s="215"/>
      <c r="F67" s="940">
        <f>COUNTIF(G7:G66,"&gt;10000")</f>
        <v>5</v>
      </c>
      <c r="G67" s="215"/>
      <c r="H67" s="215">
        <f>COUNTIF(N7:N66,"&gt;0")</f>
        <v>60</v>
      </c>
      <c r="I67" s="216" t="s">
        <v>132</v>
      </c>
      <c r="J67" s="217"/>
      <c r="K67" s="217"/>
      <c r="M67" s="217"/>
      <c r="N67" s="217"/>
      <c r="O67" s="217"/>
      <c r="P67" s="217"/>
      <c r="Q67" s="217"/>
      <c r="R67" s="217"/>
      <c r="S67" s="217"/>
      <c r="T67" s="217"/>
      <c r="U67" s="217"/>
      <c r="V67" s="218">
        <f>COUNTIF(V7:V66,"&gt;=0")</f>
        <v>25</v>
      </c>
      <c r="W67" s="218">
        <f>COUNTIF(W7:W66,"&gt;=0")</f>
        <v>33</v>
      </c>
      <c r="X67" s="218">
        <f>COUNTIF(X7:X66,"&gt;=0")</f>
        <v>30</v>
      </c>
      <c r="Y67" s="218">
        <f>COUNTIF(Y7:Y66,"&gt;=0")</f>
        <v>26</v>
      </c>
      <c r="Z67" s="218">
        <f>COUNTIF(Z7:Z66,"&gt;=0")</f>
        <v>30</v>
      </c>
      <c r="AA67" s="218">
        <f>COUNTIF(AA7:AA66,"&gt;=0")</f>
        <v>33</v>
      </c>
      <c r="AB67" s="218">
        <f>COUNTIF(AB7:AB66,"&gt;=0")</f>
        <v>20</v>
      </c>
      <c r="AC67" s="218">
        <f>COUNTIF(AC7:AC66,"&gt;=0")</f>
        <v>26</v>
      </c>
      <c r="AD67" s="218">
        <f>COUNTIF(AD7:AD66,"&gt;=0")</f>
        <v>30</v>
      </c>
      <c r="AE67" s="218">
        <f>COUNTIF(AE7:AE66,"&gt;=0")</f>
        <v>22</v>
      </c>
      <c r="AF67" s="218"/>
      <c r="AG67" s="218"/>
      <c r="AH67" s="218"/>
      <c r="AI67" s="218">
        <f>COUNTIF(AI7:AI66,"&gt;=0")</f>
        <v>26</v>
      </c>
      <c r="AJ67" s="196"/>
      <c r="AK67" s="219">
        <f>SUM(AK7:AK66)</f>
        <v>67</v>
      </c>
      <c r="AL67" s="196"/>
    </row>
    <row r="68" spans="1:38" x14ac:dyDescent="0.2">
      <c r="A68" s="220"/>
      <c r="B68" s="220"/>
      <c r="C68" s="220"/>
      <c r="D68" s="220"/>
      <c r="E68" s="220"/>
      <c r="F68" s="220"/>
      <c r="G68" s="220"/>
      <c r="H68" s="220"/>
      <c r="I68" s="216" t="s">
        <v>133</v>
      </c>
      <c r="J68" s="217"/>
      <c r="K68" s="217"/>
      <c r="M68" s="217"/>
      <c r="N68" s="217"/>
      <c r="O68" s="217"/>
      <c r="P68" s="217"/>
      <c r="Q68" s="217"/>
      <c r="R68" s="217"/>
      <c r="S68" s="217"/>
      <c r="T68" s="217"/>
      <c r="U68" s="217"/>
      <c r="V68" s="221">
        <f>IF((V67/(LEN(V5)-LEN(SUBSTITUTE(V5,"*","")))-0.5)&lt;0,"",V67/(LEN(V5)-LEN(SUBSTITUTE(V5,"*","")))-0.5)</f>
        <v>12</v>
      </c>
      <c r="W68" s="221">
        <f>IF((W67/(LEN(W5)-LEN(SUBSTITUTE(W5,"*","")))-0.5)&lt;0,"",W67/(LEN(W5)-LEN(SUBSTITUTE(W5,"*","")))-0.5)</f>
        <v>16</v>
      </c>
      <c r="X68" s="221">
        <f>IF((X67/(LEN(X5)-LEN(SUBSTITUTE(X5,"*","")))-0.5)&lt;0,"",X67/(LEN(X5)-LEN(SUBSTITUTE(X5,"*","")))-0.5)</f>
        <v>14.5</v>
      </c>
      <c r="Y68" s="221">
        <f>IF((Y67/(LEN(Y5)-LEN(SUBSTITUTE(Y5,"*","")))-0.5)&lt;0,"",Y67/(LEN(Y5)-LEN(SUBSTITUTE(Y5,"*","")))-0.5)</f>
        <v>12.5</v>
      </c>
      <c r="Z68" s="221">
        <f>IF((Z67/(LEN(Z5)-LEN(SUBSTITUTE(Z5,"*","")))-0.5)&lt;0,"",Z67/(LEN(Z5)-LEN(SUBSTITUTE(Z5,"*","")))-0.5)</f>
        <v>14.5</v>
      </c>
      <c r="AA68" s="221">
        <f>IF((AA67/(LEN(AA5)-LEN(SUBSTITUTE(AA5,"*","")))-0.5)&lt;0,"",AA67/(LEN(AA5)-LEN(SUBSTITUTE(AA5,"*","")))-0.5)</f>
        <v>16</v>
      </c>
      <c r="AB68" s="221">
        <f>IF((AB67/(LEN(AB5)-LEN(SUBSTITUTE(AB5,"*","")))-0.5)&lt;0,"",AB67/(LEN(AB5)-LEN(SUBSTITUTE(AB5,"*","")))-0.5)</f>
        <v>9.5</v>
      </c>
      <c r="AC68" s="221">
        <v>12</v>
      </c>
      <c r="AD68" s="221">
        <v>14</v>
      </c>
      <c r="AE68" s="221">
        <f>IF((AE67/(LEN(AE5)-LEN(SUBSTITUTE(AE5,"*","")))-0.5)&lt;0,"",AE67/(LEN(AE5)-LEN(SUBSTITUTE(AE5,"*","")))-0.5)</f>
        <v>10.5</v>
      </c>
      <c r="AF68" s="220"/>
      <c r="AG68" s="221"/>
      <c r="AH68" s="220"/>
      <c r="AI68" s="220"/>
      <c r="AJ68" s="196"/>
      <c r="AK68" s="196"/>
      <c r="AL68" s="196"/>
    </row>
    <row r="70" spans="1:38" x14ac:dyDescent="0.2">
      <c r="A70" s="194"/>
      <c r="B70" s="194"/>
      <c r="C70" s="194"/>
      <c r="D70" s="194"/>
      <c r="E70" s="194"/>
      <c r="F70" s="194"/>
      <c r="G70" s="194"/>
      <c r="H70" s="194"/>
      <c r="I70" s="194" t="s">
        <v>717</v>
      </c>
    </row>
    <row r="71" spans="1:38" x14ac:dyDescent="0.2">
      <c r="J71" s="190"/>
      <c r="K71" s="190"/>
      <c r="L71" s="190"/>
      <c r="M71" s="190"/>
      <c r="N71" s="190"/>
      <c r="O71" s="190"/>
      <c r="P71" s="190"/>
      <c r="Q71" s="190"/>
      <c r="R71" s="190"/>
      <c r="S71" s="190"/>
      <c r="T71" s="190"/>
      <c r="U71" s="190"/>
    </row>
    <row r="72" spans="1:38" x14ac:dyDescent="0.2">
      <c r="J72" s="190"/>
      <c r="K72" s="190"/>
      <c r="L72" s="190"/>
      <c r="M72" s="190"/>
      <c r="N72" s="190"/>
      <c r="O72" s="190"/>
      <c r="P72" s="190"/>
      <c r="Q72" s="190"/>
      <c r="R72" s="190"/>
      <c r="S72" s="190"/>
      <c r="T72" s="190"/>
      <c r="U72" s="190"/>
    </row>
  </sheetData>
  <sortState ref="A1:AO100">
    <sortCondition descending="1" ref="U7"/>
  </sortState>
  <mergeCells count="3">
    <mergeCell ref="AJ4:AJ5"/>
    <mergeCell ref="AK4:AK5"/>
    <mergeCell ref="AL4:AL5"/>
  </mergeCells>
  <conditionalFormatting sqref="AH7:AH66">
    <cfRule type="containsText" dxfId="981" priority="20" operator="containsText" text="puudu">
      <formula>NOT(ISERROR(SEARCH("puudu",AH7)))</formula>
    </cfRule>
  </conditionalFormatting>
  <conditionalFormatting sqref="V67:AD67 AF67:AI67">
    <cfRule type="top10" dxfId="980" priority="142" stopIfTrue="1" rank="1"/>
  </conditionalFormatting>
  <conditionalFormatting sqref="AJ7:AJ66">
    <cfRule type="cellIs" dxfId="979" priority="10" operator="lessThan">
      <formula>3</formula>
    </cfRule>
  </conditionalFormatting>
  <conditionalFormatting sqref="AE67">
    <cfRule type="top10" dxfId="978" priority="9" stopIfTrue="1" rank="1"/>
  </conditionalFormatting>
  <conditionalFormatting sqref="AK7:AK66">
    <cfRule type="top10" dxfId="977" priority="3260" stopIfTrue="1" rank="1"/>
  </conditionalFormatting>
  <conditionalFormatting sqref="H7:H66">
    <cfRule type="duplicateValues" dxfId="976" priority="3261" stopIfTrue="1"/>
  </conditionalFormatting>
  <conditionalFormatting sqref="AL7:AL66">
    <cfRule type="top10" dxfId="975" priority="3262" stopIfTrue="1" rank="1"/>
  </conditionalFormatting>
  <conditionalFormatting sqref="AJ7:AK66">
    <cfRule type="top10" dxfId="974" priority="3263" stopIfTrue="1" rank="1"/>
  </conditionalFormatting>
  <conditionalFormatting sqref="A7:A66">
    <cfRule type="duplicateValues" dxfId="973" priority="3264"/>
  </conditionalFormatting>
  <conditionalFormatting sqref="N7:N66">
    <cfRule type="duplicateValues" dxfId="972" priority="3265"/>
  </conditionalFormatting>
  <conditionalFormatting sqref="I7:I66">
    <cfRule type="expression" dxfId="971" priority="3266">
      <formula>J7="n"</formula>
    </cfRule>
    <cfRule type="expression" dxfId="970" priority="3267">
      <formula>K7="j"</formula>
    </cfRule>
    <cfRule type="expression" dxfId="969" priority="3268">
      <formula>M7="k"</formula>
    </cfRule>
    <cfRule type="duplicateValues" dxfId="968" priority="3269" stopIfTrue="1"/>
  </conditionalFormatting>
  <conditionalFormatting sqref="V7:V66">
    <cfRule type="expression" dxfId="967" priority="3270" stopIfTrue="1">
      <formula>V7=MAX(IF(V$7:V$66&lt;MAX(IF(V$7:V$66&lt;MAX(V$7:V$66),V$7:V$66)),V$7:V$66))</formula>
    </cfRule>
    <cfRule type="expression" dxfId="966" priority="3271" stopIfTrue="1">
      <formula>V7=MAX(IF(V$7:V$66&lt;MAX(V$7:V$66),V$7:V$66))</formula>
    </cfRule>
    <cfRule type="top10" dxfId="965" priority="3272" stopIfTrue="1" rank="1"/>
  </conditionalFormatting>
  <conditionalFormatting sqref="W7:W66">
    <cfRule type="expression" dxfId="964" priority="3276" stopIfTrue="1">
      <formula>W7=MAX(IF(W$7:W$66&lt;MAX(IF(W$7:W$66&lt;MAX(W$7:W$66),W$7:W$66)),W$7:W$66))</formula>
    </cfRule>
    <cfRule type="expression" dxfId="963" priority="3277" stopIfTrue="1">
      <formula>W7=MAX(IF(W$7:W$66&lt;MAX(W$7:W$66),W$7:W$66))</formula>
    </cfRule>
    <cfRule type="top10" dxfId="962" priority="3278" stopIfTrue="1" rank="1"/>
  </conditionalFormatting>
  <conditionalFormatting sqref="X7:X66">
    <cfRule type="expression" dxfId="961" priority="3282" stopIfTrue="1">
      <formula>X7=MAX(IF(X$7:X$66&lt;MAX(IF(X$7:X$66&lt;MAX(X$7:X$66),X$7:X$66)),X$7:X$66))</formula>
    </cfRule>
    <cfRule type="expression" dxfId="960" priority="3283" stopIfTrue="1">
      <formula>X7=MAX(IF(X$7:X$66&lt;MAX(X$7:X$66),X$7:X$66))</formula>
    </cfRule>
    <cfRule type="top10" dxfId="959" priority="3284" stopIfTrue="1" rank="1"/>
  </conditionalFormatting>
  <conditionalFormatting sqref="Y7:Y66">
    <cfRule type="expression" dxfId="958" priority="3288" stopIfTrue="1">
      <formula>Y7=MAX(IF(Y$7:Y$66&lt;MAX(IF(Y$7:Y$66&lt;MAX(Y$7:Y$66),Y$7:Y$66)),Y$7:Y$66))</formula>
    </cfRule>
    <cfRule type="expression" dxfId="957" priority="3289" stopIfTrue="1">
      <formula>Y7=MAX(IF(Y$7:Y$66&lt;MAX(Y$7:Y$66),Y$7:Y$66))</formula>
    </cfRule>
    <cfRule type="top10" dxfId="956" priority="3290" stopIfTrue="1" rank="1"/>
  </conditionalFormatting>
  <conditionalFormatting sqref="Z7:Z66">
    <cfRule type="expression" dxfId="955" priority="3294" stopIfTrue="1">
      <formula>Z7=MAX(IF(Z$7:Z$66&lt;MAX(IF(Z$7:Z$66&lt;MAX(Z$7:Z$66),Z$7:Z$66)),Z$7:Z$66))</formula>
    </cfRule>
    <cfRule type="expression" dxfId="954" priority="3295" stopIfTrue="1">
      <formula>Z7=MAX(IF(Z$7:Z$66&lt;MAX(Z$7:Z$66),Z$7:Z$66))</formula>
    </cfRule>
    <cfRule type="top10" dxfId="953" priority="3296" stopIfTrue="1" rank="1"/>
  </conditionalFormatting>
  <conditionalFormatting sqref="AA7:AA66">
    <cfRule type="expression" dxfId="952" priority="3300" stopIfTrue="1">
      <formula>AA7=MAX(IF(AA$7:AA$66&lt;MAX(IF(AA$7:AA$66&lt;MAX(AA$7:AA$66),AA$7:AA$66)),AA$7:AA$66))</formula>
    </cfRule>
    <cfRule type="expression" dxfId="951" priority="3301" stopIfTrue="1">
      <formula>AA7=MAX(IF(AA$7:AA$66&lt;MAX(AA$7:AA$66),AA$7:AA$66))</formula>
    </cfRule>
    <cfRule type="top10" dxfId="950" priority="3302" stopIfTrue="1" rank="1"/>
  </conditionalFormatting>
  <conditionalFormatting sqref="AB7:AB66">
    <cfRule type="expression" dxfId="949" priority="3306" stopIfTrue="1">
      <formula>AB7=MAX(IF(AB$7:AB$66&lt;MAX(IF(AB$7:AB$66&lt;MAX(AB$7:AB$66),AB$7:AB$66)),AB$7:AB$66))</formula>
    </cfRule>
    <cfRule type="expression" dxfId="948" priority="3307" stopIfTrue="1">
      <formula>AB7=MAX(IF(AB$7:AB$66&lt;MAX(AB$7:AB$66),AB$7:AB$66))</formula>
    </cfRule>
    <cfRule type="top10" dxfId="947" priority="3308" stopIfTrue="1" rank="1"/>
  </conditionalFormatting>
  <conditionalFormatting sqref="AC7:AC66">
    <cfRule type="expression" dxfId="946" priority="3312" stopIfTrue="1">
      <formula>AC7=MAX(IF(AC$7:AC$66&lt;MAX(IF(AC$7:AC$66&lt;MAX(AC$7:AC$66),AC$7:AC$66)),AC$7:AC$66))</formula>
    </cfRule>
    <cfRule type="expression" dxfId="945" priority="3313" stopIfTrue="1">
      <formula>AC7=MAX(IF(AC$7:AC$66&lt;MAX(AC$7:AC$66),AC$7:AC$66))</formula>
    </cfRule>
    <cfRule type="top10" dxfId="944" priority="3314" stopIfTrue="1" rank="1"/>
  </conditionalFormatting>
  <conditionalFormatting sqref="F7:F66">
    <cfRule type="duplicateValues" dxfId="943" priority="3318"/>
  </conditionalFormatting>
  <conditionalFormatting sqref="D7:D66">
    <cfRule type="duplicateValues" dxfId="942" priority="3319"/>
  </conditionalFormatting>
  <conditionalFormatting sqref="AD7:AD66">
    <cfRule type="expression" dxfId="941" priority="3320" stopIfTrue="1">
      <formula>AD7=MAX(IF(AD$7:AD$66&lt;MAX(IF(AD$7:AD$66&lt;MAX(AD$7:AD$66),AD$7:AD$66)),AD$7:AD$66))</formula>
    </cfRule>
    <cfRule type="expression" dxfId="940" priority="3321" stopIfTrue="1">
      <formula>AD7=MAX(IF(AD$7:AD$66&lt;MAX(AD$7:AD$66),AD$7:AD$66))</formula>
    </cfRule>
    <cfRule type="top10" dxfId="939" priority="3322" stopIfTrue="1" rank="1"/>
  </conditionalFormatting>
  <conditionalFormatting sqref="AE7:AE66">
    <cfRule type="expression" dxfId="938" priority="3326">
      <formula>AE7=MAX(IF(AE$7:AE$66&lt;MAX(IF(AE$7:AE$66&lt;MAX(AE$7:AE$66),AE$7:AE$66)),AE$7:AE$66))</formula>
    </cfRule>
    <cfRule type="expression" dxfId="937" priority="3327">
      <formula>AE7=MAX(IF(AE$7:AE$66&lt;MAX(AE$7:AE$66),AE$7:AE$66))</formula>
    </cfRule>
    <cfRule type="top10" dxfId="936" priority="3328" rank="1"/>
  </conditionalFormatting>
  <pageMargins left="0.31496062992125984" right="0.27559055118110237" top="0.78740157480314965" bottom="0.39370078740157483" header="0.59055118110236227" footer="0"/>
  <pageSetup paperSize="9" fitToHeight="0" orientation="portrait" useFirstPageNumber="1" r:id="rId1"/>
  <headerFooter alignWithMargins="0">
    <oddHeader>&amp;R&amp;"Arial,Regular"&amp;9Page &amp;P of &amp;N</oddHead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7"/>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33.85546875" style="32" bestFit="1"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UPPER((Kalend!E9)&amp;" - "&amp;(Kalend!C9)&amp;" - "&amp;(Kalend!D9))</f>
        <v>V1 - VOKA 5. KV 1.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"&amp;(Kalend!A9)&amp;" kell "&amp;(Kalend!B9)</f>
        <v>Toimumisaeg: K, 09.05.2018 kell 18:00</v>
      </c>
      <c r="Y2" s="56" t="s">
        <v>449</v>
      </c>
      <c r="AE2" s="56" t="s">
        <v>449</v>
      </c>
    </row>
    <row r="3" spans="1:42" x14ac:dyDescent="0.2">
      <c r="A3" s="2" t="str">
        <f>"Toimumiskoht: "&amp;(Kalend!F9)</f>
        <v>Toimumiskoht: Voka staadion</v>
      </c>
      <c r="G3" s="1337"/>
      <c r="H3" s="1337"/>
      <c r="I3" s="1338" t="s">
        <v>446</v>
      </c>
      <c r="J3" s="659">
        <v>1</v>
      </c>
      <c r="K3" s="188" t="s">
        <v>493</v>
      </c>
    </row>
    <row r="4" spans="1:42" x14ac:dyDescent="0.2">
      <c r="A4" s="2" t="str">
        <f>"Korraldaja: "&amp;(Kalend!G9)</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51" t="s">
        <v>38</v>
      </c>
      <c r="C8" s="1323">
        <v>13</v>
      </c>
      <c r="D8" s="1324" t="s">
        <v>211</v>
      </c>
      <c r="E8" s="1325">
        <v>10</v>
      </c>
      <c r="F8" s="1315" t="str">
        <f>B11</f>
        <v>Karla Purgats, Lemmit Toomra</v>
      </c>
      <c r="G8" s="1323">
        <v>13</v>
      </c>
      <c r="H8" s="1324" t="s">
        <v>211</v>
      </c>
      <c r="I8" s="1325">
        <v>7</v>
      </c>
      <c r="J8" s="1315" t="str">
        <f>B14</f>
        <v>Henri Mitt, Urmas Jõeäär</v>
      </c>
      <c r="K8" s="1323">
        <v>13</v>
      </c>
      <c r="L8" s="1324" t="s">
        <v>211</v>
      </c>
      <c r="M8" s="1325">
        <v>7</v>
      </c>
      <c r="N8" s="1315" t="str">
        <f>B9</f>
        <v>Oksana Sažina, Oleg Rõndenkov</v>
      </c>
      <c r="O8" s="1323">
        <v>10</v>
      </c>
      <c r="P8" s="1324" t="s">
        <v>211</v>
      </c>
      <c r="Q8" s="1325">
        <v>13</v>
      </c>
      <c r="R8" s="1315" t="str">
        <f>B10</f>
        <v>Jaan Sepp, Oskar Sepp</v>
      </c>
      <c r="S8" s="1323">
        <v>13</v>
      </c>
      <c r="T8" s="1324" t="s">
        <v>211</v>
      </c>
      <c r="U8" s="1325">
        <v>8</v>
      </c>
      <c r="V8" s="1315" t="str">
        <f>B15</f>
        <v>Janek Tarto, Romek Tarto</v>
      </c>
      <c r="W8" s="1323"/>
      <c r="X8" s="1324" t="s">
        <v>211</v>
      </c>
      <c r="Y8" s="1325"/>
      <c r="Z8" s="1315"/>
      <c r="AA8" s="1330">
        <f t="shared" ref="AA8:AA19" si="0">IF(C8&gt;E8,J$3,IF(C8&lt;E8,J$5,IF(ISNUMBER(C8),J$4,0)))+IF(G8&gt;I8,J$3,IF(G8&lt;I8,J$5,IF(ISNUMBER(G8),J$4,0)))+IF(K8&gt;M8,J$3,IF(K8&lt;M8,J$5,IF(ISNUMBER(K8),J$4,0)))+IF(O8&gt;Q8,J$3,IF(O8&lt;Q8,J$5,IF(ISNUMBER(O8),J$4,0)))+IF(S8&gt;U8,J$3,IF(S8&lt;U8,J$5,IF(ISNUMBER(S8),J$4,0)))+IF(W8&gt;Y8,J$3,IF(W8&lt;Y8,J$5,IF(ISNUMBER(W8),J$4,0)))</f>
        <v>4</v>
      </c>
      <c r="AB8" s="1331"/>
      <c r="AC8" s="1323">
        <f t="shared" ref="AC8:AC19" si="1">C8+G8+K8+O8+S8+W8</f>
        <v>62</v>
      </c>
      <c r="AD8" s="1324" t="s">
        <v>211</v>
      </c>
      <c r="AE8" s="1326">
        <f t="shared" ref="AE8:AE19" si="2">E8+I8+M8+Q8+U8+Y8</f>
        <v>45</v>
      </c>
      <c r="AF8" s="1327">
        <f t="shared" ref="AF8:AF19" si="3">AC8-AE8</f>
        <v>17</v>
      </c>
      <c r="AG8" s="663"/>
      <c r="AH8" s="499">
        <f t="shared" ref="AH8" si="4">SUM(AJ8:AP8)</f>
        <v>113</v>
      </c>
      <c r="AI8" s="605" t="str">
        <f t="shared" ref="AI8:AI19" si="5">IFERROR(LEFT($B8,(FIND(",",$B8,1)-1)),"")</f>
        <v>Tõnu Kapper</v>
      </c>
      <c r="AJ8" s="604">
        <f>IFERROR(INDEX(V!$N:$N,MATCH(AI8,V!$I:$I,0)),"")</f>
        <v>65</v>
      </c>
      <c r="AK8" s="605" t="str">
        <f t="shared" ref="AK8:AK19" si="6">IFERROR(MID($B8,FIND(", ",$B8)+2,256),"")</f>
        <v>Vladimir Ogneštšikov</v>
      </c>
      <c r="AL8" s="604">
        <f>IFERROR(INDEX(V!$N:$N,MATCH(AK8,V!$I:$I,0)),"")</f>
        <v>48</v>
      </c>
      <c r="AM8" s="603" t="str">
        <f t="shared" ref="AM8:AM19" si="7">IFERROR(MID($B8,FIND("^",SUBSTITUTE($B8,", ","^",1))+2,FIND("^",SUBSTITUTE($B8,", ","^",2))-FIND("^",SUBSTITUTE($B8,", ","^",1))-2),"")</f>
        <v/>
      </c>
      <c r="AN8" s="604" t="str">
        <f>IFERROR(INDEX(V!$N:$N,MATCH(AM8,V!$I:$I,0)),"")</f>
        <v/>
      </c>
      <c r="AO8" s="603" t="str">
        <f t="shared" ref="AO8:AO19" si="8">IFERROR(MID($B8,FIND(", ",$B8,FIND(", ",$B8,FIND(", ",$B8))+1)+2,700),"")</f>
        <v/>
      </c>
      <c r="AP8" s="604" t="str">
        <f>IFERROR(INDEX(V!$N:$N,MATCH(AO8,V!$I:$I,0)),"")</f>
        <v/>
      </c>
    </row>
    <row r="9" spans="1:42" ht="12.75" customHeight="1" x14ac:dyDescent="0.2">
      <c r="A9" s="1319">
        <v>2</v>
      </c>
      <c r="B9" s="1351" t="s">
        <v>35</v>
      </c>
      <c r="C9" s="1323">
        <v>13</v>
      </c>
      <c r="D9" s="1324" t="s">
        <v>211</v>
      </c>
      <c r="E9" s="1325">
        <v>8</v>
      </c>
      <c r="F9" s="1315" t="str">
        <f>B18</f>
        <v>Meelis Luud, Urmas Randlaine</v>
      </c>
      <c r="G9" s="1323">
        <v>13</v>
      </c>
      <c r="H9" s="1324" t="s">
        <v>211</v>
      </c>
      <c r="I9" s="1325">
        <v>2</v>
      </c>
      <c r="J9" s="1315" t="str">
        <f>B13</f>
        <v>Klavdia Piik, Ülo Piik</v>
      </c>
      <c r="K9" s="1323">
        <v>7</v>
      </c>
      <c r="L9" s="1324" t="s">
        <v>211</v>
      </c>
      <c r="M9" s="1325">
        <v>13</v>
      </c>
      <c r="N9" s="1315" t="str">
        <f>B8</f>
        <v>Tõnu Kapper, Vladimir Ogneštšikov</v>
      </c>
      <c r="O9" s="1323">
        <v>13</v>
      </c>
      <c r="P9" s="1324" t="s">
        <v>211</v>
      </c>
      <c r="Q9" s="1325">
        <v>12</v>
      </c>
      <c r="R9" s="1315" t="str">
        <f>B17</f>
        <v>Brigitta Neiland, Jaan Saar, Väino Aul</v>
      </c>
      <c r="S9" s="1323">
        <v>13</v>
      </c>
      <c r="T9" s="1324" t="s">
        <v>211</v>
      </c>
      <c r="U9" s="1325">
        <v>9</v>
      </c>
      <c r="V9" s="1315" t="str">
        <f>B10</f>
        <v>Jaan Sepp, Oskar Sepp</v>
      </c>
      <c r="W9" s="1323"/>
      <c r="X9" s="1324" t="s">
        <v>211</v>
      </c>
      <c r="Y9" s="1325"/>
      <c r="Z9" s="1315"/>
      <c r="AA9" s="1330">
        <f t="shared" si="0"/>
        <v>4</v>
      </c>
      <c r="AB9" s="1331"/>
      <c r="AC9" s="1323">
        <f t="shared" si="1"/>
        <v>59</v>
      </c>
      <c r="AD9" s="1324" t="s">
        <v>211</v>
      </c>
      <c r="AE9" s="1326">
        <f t="shared" si="2"/>
        <v>44</v>
      </c>
      <c r="AF9" s="1327">
        <f t="shared" si="3"/>
        <v>15</v>
      </c>
      <c r="AG9" s="663"/>
      <c r="AH9" s="499">
        <f t="shared" ref="AH9:AH18" si="9">SUM(AJ9:AP9)</f>
        <v>137</v>
      </c>
      <c r="AI9" s="605" t="str">
        <f t="shared" si="5"/>
        <v>Oksana Sažina</v>
      </c>
      <c r="AJ9" s="604">
        <f>IFERROR(INDEX(V!$N:$N,MATCH(AI9,V!$I:$I,0)),"")</f>
        <v>72</v>
      </c>
      <c r="AK9" s="605" t="str">
        <f t="shared" si="6"/>
        <v>Oleg Rõndenkov</v>
      </c>
      <c r="AL9" s="604">
        <f>IFERROR(INDEX(V!$N:$N,MATCH(AK9,V!$I:$I,0)),"")</f>
        <v>65</v>
      </c>
      <c r="AM9" s="603" t="str">
        <f t="shared" si="7"/>
        <v/>
      </c>
      <c r="AN9" s="604" t="str">
        <f>IFERROR(INDEX(V!$N:$N,MATCH(AM9,V!$I:$I,0)),"")</f>
        <v/>
      </c>
      <c r="AO9" s="603" t="str">
        <f t="shared" si="8"/>
        <v/>
      </c>
      <c r="AP9" s="604" t="str">
        <f>IFERROR(INDEX(V!$N:$N,MATCH(AO9,V!$I:$I,0)),"")</f>
        <v/>
      </c>
    </row>
    <row r="10" spans="1:42" ht="12.75" customHeight="1" x14ac:dyDescent="0.2">
      <c r="A10" s="1319">
        <v>3</v>
      </c>
      <c r="B10" s="1352" t="s">
        <v>440</v>
      </c>
      <c r="C10" s="1323">
        <v>13</v>
      </c>
      <c r="D10" s="1324" t="s">
        <v>211</v>
      </c>
      <c r="E10" s="1325">
        <v>7</v>
      </c>
      <c r="F10" s="1315" t="str">
        <f>B15</f>
        <v>Janek Tarto, Romek Tarto</v>
      </c>
      <c r="G10" s="1323">
        <v>13</v>
      </c>
      <c r="H10" s="1324" t="s">
        <v>211</v>
      </c>
      <c r="I10" s="1325">
        <v>4</v>
      </c>
      <c r="J10" s="1315" t="str">
        <f>B16</f>
        <v>Elmo Lageda, Tõnu Piik</v>
      </c>
      <c r="K10" s="1323">
        <v>13</v>
      </c>
      <c r="L10" s="1324" t="s">
        <v>211</v>
      </c>
      <c r="M10" s="1325">
        <v>10</v>
      </c>
      <c r="N10" s="1315" t="str">
        <f>B17</f>
        <v>Brigitta Neiland, Jaan Saar, Väino Aul</v>
      </c>
      <c r="O10" s="1323">
        <v>13</v>
      </c>
      <c r="P10" s="1324" t="s">
        <v>211</v>
      </c>
      <c r="Q10" s="1325">
        <v>10</v>
      </c>
      <c r="R10" s="1315" t="str">
        <f>B8</f>
        <v>Tõnu Kapper, Vladimir Ogneštšikov</v>
      </c>
      <c r="S10" s="1323">
        <v>9</v>
      </c>
      <c r="T10" s="1324" t="s">
        <v>211</v>
      </c>
      <c r="U10" s="1325">
        <v>13</v>
      </c>
      <c r="V10" s="1315" t="str">
        <f>B9</f>
        <v>Oksana Sažina, Oleg Rõndenkov</v>
      </c>
      <c r="W10" s="1323"/>
      <c r="X10" s="1324" t="s">
        <v>211</v>
      </c>
      <c r="Y10" s="1325"/>
      <c r="Z10" s="1315"/>
      <c r="AA10" s="1330">
        <f t="shared" si="0"/>
        <v>4</v>
      </c>
      <c r="AB10" s="1331"/>
      <c r="AC10" s="1323">
        <f t="shared" si="1"/>
        <v>61</v>
      </c>
      <c r="AD10" s="1324" t="s">
        <v>211</v>
      </c>
      <c r="AE10" s="1326">
        <f t="shared" si="2"/>
        <v>44</v>
      </c>
      <c r="AF10" s="1327">
        <f t="shared" si="3"/>
        <v>17</v>
      </c>
      <c r="AG10" s="663"/>
      <c r="AH10" s="499">
        <f t="shared" si="9"/>
        <v>154</v>
      </c>
      <c r="AI10" s="605" t="str">
        <f t="shared" si="5"/>
        <v>Jaan Sepp</v>
      </c>
      <c r="AJ10" s="604">
        <f>IFERROR(INDEX(V!$N:$N,MATCH(AI10,V!$I:$I,0)),"")</f>
        <v>98</v>
      </c>
      <c r="AK10" s="605" t="str">
        <f t="shared" si="6"/>
        <v>Oskar Sepp</v>
      </c>
      <c r="AL10" s="604">
        <f>IFERROR(INDEX(V!$N:$N,MATCH(AK10,V!$I:$I,0)),"")</f>
        <v>56</v>
      </c>
      <c r="AM10" s="603" t="str">
        <f t="shared" si="7"/>
        <v/>
      </c>
      <c r="AN10" s="604" t="str">
        <f>IFERROR(INDEX(V!$N:$N,MATCH(AM10,V!$I:$I,0)),"")</f>
        <v/>
      </c>
      <c r="AO10" s="603" t="str">
        <f t="shared" si="8"/>
        <v/>
      </c>
      <c r="AP10" s="604" t="str">
        <f>IFERROR(INDEX(V!$N:$N,MATCH(AO10,V!$I:$I,0)),"")</f>
        <v/>
      </c>
    </row>
    <row r="11" spans="1:42" ht="12.75" customHeight="1" x14ac:dyDescent="0.2">
      <c r="A11" s="1319">
        <v>4</v>
      </c>
      <c r="B11" s="1352" t="s">
        <v>441</v>
      </c>
      <c r="C11" s="1323">
        <v>10</v>
      </c>
      <c r="D11" s="1324" t="s">
        <v>211</v>
      </c>
      <c r="E11" s="1325">
        <v>13</v>
      </c>
      <c r="F11" s="1315" t="str">
        <f>B8</f>
        <v>Tõnu Kapper, Vladimir Ogneštšikov</v>
      </c>
      <c r="G11" s="1323">
        <v>13</v>
      </c>
      <c r="H11" s="1324" t="s">
        <v>211</v>
      </c>
      <c r="I11" s="1325">
        <v>9</v>
      </c>
      <c r="J11" s="1315" t="str">
        <f>B18</f>
        <v>Meelis Luud, Urmas Randlaine</v>
      </c>
      <c r="K11" s="1323">
        <v>13</v>
      </c>
      <c r="L11" s="1324" t="s">
        <v>211</v>
      </c>
      <c r="M11" s="1325">
        <v>3</v>
      </c>
      <c r="N11" s="1315" t="str">
        <f>B14</f>
        <v>Henri Mitt, Urmas Jõeäär</v>
      </c>
      <c r="O11" s="1323">
        <v>13</v>
      </c>
      <c r="P11" s="1324" t="s">
        <v>211</v>
      </c>
      <c r="Q11" s="1325">
        <v>6</v>
      </c>
      <c r="R11" s="1315" t="str">
        <f>B16</f>
        <v>Elmo Lageda, Tõnu Piik</v>
      </c>
      <c r="S11" s="1323">
        <v>13</v>
      </c>
      <c r="T11" s="1324" t="s">
        <v>211</v>
      </c>
      <c r="U11" s="1325">
        <v>10</v>
      </c>
      <c r="V11" s="1315" t="str">
        <f>B13</f>
        <v>Klavdia Piik, Ülo Piik</v>
      </c>
      <c r="W11" s="1323"/>
      <c r="X11" s="1324" t="s">
        <v>211</v>
      </c>
      <c r="Y11" s="1325"/>
      <c r="Z11" s="1315"/>
      <c r="AA11" s="1330">
        <f t="shared" si="0"/>
        <v>4</v>
      </c>
      <c r="AB11" s="1331"/>
      <c r="AC11" s="1323">
        <f t="shared" si="1"/>
        <v>62</v>
      </c>
      <c r="AD11" s="1324" t="s">
        <v>211</v>
      </c>
      <c r="AE11" s="1326">
        <f t="shared" si="2"/>
        <v>41</v>
      </c>
      <c r="AF11" s="1327">
        <f t="shared" si="3"/>
        <v>21</v>
      </c>
      <c r="AG11" s="663"/>
      <c r="AH11" s="499">
        <f t="shared" si="9"/>
        <v>92</v>
      </c>
      <c r="AI11" s="605" t="str">
        <f t="shared" si="5"/>
        <v>Karla Purgats</v>
      </c>
      <c r="AJ11" s="604">
        <f>IFERROR(INDEX(V!$N:$N,MATCH(AI11,V!$I:$I,0)),"")</f>
        <v>46.5</v>
      </c>
      <c r="AK11" s="605" t="str">
        <f t="shared" si="6"/>
        <v>Lemmit Toomra</v>
      </c>
      <c r="AL11" s="604">
        <f>IFERROR(INDEX(V!$N:$N,MATCH(AK11,V!$I:$I,0)),"")</f>
        <v>45.5</v>
      </c>
      <c r="AM11" s="603" t="str">
        <f t="shared" si="7"/>
        <v/>
      </c>
      <c r="AN11" s="604" t="str">
        <f>IFERROR(INDEX(V!$N:$N,MATCH(AM11,V!$I:$I,0)),"")</f>
        <v/>
      </c>
      <c r="AO11" s="603" t="str">
        <f t="shared" si="8"/>
        <v/>
      </c>
      <c r="AP11" s="604" t="str">
        <f>IFERROR(INDEX(V!$N:$N,MATCH(AO11,V!$I:$I,0)),"")</f>
        <v/>
      </c>
    </row>
    <row r="12" spans="1:42" ht="12.75" customHeight="1" x14ac:dyDescent="0.2">
      <c r="A12" s="1319">
        <v>5</v>
      </c>
      <c r="B12" s="1352" t="s">
        <v>443</v>
      </c>
      <c r="C12" s="1323">
        <v>11</v>
      </c>
      <c r="D12" s="1324" t="s">
        <v>211</v>
      </c>
      <c r="E12" s="1325">
        <v>13</v>
      </c>
      <c r="F12" s="1315" t="str">
        <f>B14</f>
        <v>Henri Mitt, Urmas Jõeäär</v>
      </c>
      <c r="G12" s="1323">
        <v>13</v>
      </c>
      <c r="H12" s="1324" t="s">
        <v>211</v>
      </c>
      <c r="I12" s="1325">
        <v>2</v>
      </c>
      <c r="J12" s="1315" t="str">
        <f>B15</f>
        <v>Janek Tarto, Romek Tarto</v>
      </c>
      <c r="K12" s="1323">
        <v>8</v>
      </c>
      <c r="L12" s="1324" t="s">
        <v>211</v>
      </c>
      <c r="M12" s="1325">
        <v>13</v>
      </c>
      <c r="N12" s="1315" t="str">
        <f>B16</f>
        <v>Elmo Lageda, Tõnu Piik</v>
      </c>
      <c r="O12" s="1323">
        <v>13</v>
      </c>
      <c r="P12" s="1324" t="s">
        <v>211</v>
      </c>
      <c r="Q12" s="1325">
        <v>7</v>
      </c>
      <c r="R12" s="1315" t="str">
        <f>B18</f>
        <v>Meelis Luud, Urmas Randlaine</v>
      </c>
      <c r="S12" s="1323">
        <v>13</v>
      </c>
      <c r="T12" s="1324" t="s">
        <v>211</v>
      </c>
      <c r="U12" s="1325">
        <v>6</v>
      </c>
      <c r="V12" s="1315" t="str">
        <f>B17</f>
        <v>Brigitta Neiland, Jaan Saar, Väino Aul</v>
      </c>
      <c r="W12" s="1323"/>
      <c r="X12" s="1324" t="s">
        <v>211</v>
      </c>
      <c r="Y12" s="1325"/>
      <c r="Z12" s="1315"/>
      <c r="AA12" s="1330">
        <f t="shared" si="0"/>
        <v>3</v>
      </c>
      <c r="AB12" s="1331"/>
      <c r="AC12" s="1323">
        <f t="shared" si="1"/>
        <v>58</v>
      </c>
      <c r="AD12" s="1324" t="s">
        <v>211</v>
      </c>
      <c r="AE12" s="1326">
        <f t="shared" si="2"/>
        <v>41</v>
      </c>
      <c r="AF12" s="1327">
        <f t="shared" si="3"/>
        <v>17</v>
      </c>
      <c r="AG12" s="663"/>
      <c r="AH12" s="499">
        <f t="shared" si="9"/>
        <v>176</v>
      </c>
      <c r="AI12" s="605" t="str">
        <f t="shared" si="5"/>
        <v>Kenneth Muusikus</v>
      </c>
      <c r="AJ12" s="604">
        <f>IFERROR(INDEX(V!$N:$N,MATCH(AI12,V!$I:$I,0)),"")</f>
        <v>87</v>
      </c>
      <c r="AK12" s="605" t="str">
        <f t="shared" si="6"/>
        <v>Mait Metsla</v>
      </c>
      <c r="AL12" s="604">
        <f>IFERROR(INDEX(V!$N:$N,MATCH(AK12,V!$I:$I,0)),"")</f>
        <v>89</v>
      </c>
      <c r="AM12" s="603" t="str">
        <f t="shared" si="7"/>
        <v/>
      </c>
      <c r="AN12" s="604" t="str">
        <f>IFERROR(INDEX(V!$N:$N,MATCH(AM12,V!$I:$I,0)),"")</f>
        <v/>
      </c>
      <c r="AO12" s="603" t="str">
        <f t="shared" si="8"/>
        <v/>
      </c>
      <c r="AP12" s="604" t="str">
        <f>IFERROR(INDEX(V!$N:$N,MATCH(AO12,V!$I:$I,0)),"")</f>
        <v/>
      </c>
    </row>
    <row r="13" spans="1:42" ht="12.75" customHeight="1" x14ac:dyDescent="0.2">
      <c r="A13" s="1319">
        <v>6</v>
      </c>
      <c r="B13" s="1352" t="s">
        <v>442</v>
      </c>
      <c r="C13" s="1323">
        <v>12</v>
      </c>
      <c r="D13" s="1324" t="s">
        <v>211</v>
      </c>
      <c r="E13" s="1325">
        <v>12</v>
      </c>
      <c r="F13" s="1315" t="str">
        <f>B17</f>
        <v>Brigitta Neiland, Jaan Saar, Väino Aul</v>
      </c>
      <c r="G13" s="1323">
        <v>2</v>
      </c>
      <c r="H13" s="1324" t="s">
        <v>211</v>
      </c>
      <c r="I13" s="1325">
        <v>13</v>
      </c>
      <c r="J13" s="1315" t="str">
        <f>B9</f>
        <v>Oksana Sažina, Oleg Rõndenkov</v>
      </c>
      <c r="K13" s="1323">
        <v>13</v>
      </c>
      <c r="L13" s="1324" t="s">
        <v>211</v>
      </c>
      <c r="M13" s="1325">
        <v>1</v>
      </c>
      <c r="N13" s="1315" t="str">
        <f>B19</f>
        <v>Enn Tokman, Tarmo Bombe</v>
      </c>
      <c r="O13" s="1323">
        <v>13</v>
      </c>
      <c r="P13" s="1324" t="s">
        <v>211</v>
      </c>
      <c r="Q13" s="1325">
        <v>4</v>
      </c>
      <c r="R13" s="1315" t="str">
        <f>B14</f>
        <v>Henri Mitt, Urmas Jõeäär</v>
      </c>
      <c r="S13" s="1323">
        <v>10</v>
      </c>
      <c r="T13" s="1324" t="s">
        <v>211</v>
      </c>
      <c r="U13" s="1325">
        <v>13</v>
      </c>
      <c r="V13" s="1315" t="str">
        <f>B11</f>
        <v>Karla Purgats, Lemmit Toomra</v>
      </c>
      <c r="W13" s="1323"/>
      <c r="X13" s="1324" t="s">
        <v>211</v>
      </c>
      <c r="Y13" s="1325"/>
      <c r="Z13" s="1315"/>
      <c r="AA13" s="1330">
        <f t="shared" si="0"/>
        <v>2.5</v>
      </c>
      <c r="AB13" s="1331"/>
      <c r="AC13" s="1323">
        <f t="shared" si="1"/>
        <v>50</v>
      </c>
      <c r="AD13" s="1324" t="s">
        <v>211</v>
      </c>
      <c r="AE13" s="1326">
        <f t="shared" si="2"/>
        <v>43</v>
      </c>
      <c r="AF13" s="1327">
        <f t="shared" si="3"/>
        <v>7</v>
      </c>
      <c r="AG13" s="663"/>
      <c r="AH13" s="499">
        <f t="shared" si="9"/>
        <v>29</v>
      </c>
      <c r="AI13" s="605" t="str">
        <f t="shared" si="5"/>
        <v>Klavdia Piik</v>
      </c>
      <c r="AJ13" s="604">
        <f>IFERROR(INDEX(V!$N:$N,MATCH(AI13,V!$I:$I,0)),"")</f>
        <v>7</v>
      </c>
      <c r="AK13" s="605" t="str">
        <f t="shared" si="6"/>
        <v>Ülo Piik</v>
      </c>
      <c r="AL13" s="604">
        <f>IFERROR(INDEX(V!$N:$N,MATCH(AK13,V!$I:$I,0)),"")</f>
        <v>22</v>
      </c>
      <c r="AM13" s="603" t="str">
        <f t="shared" si="7"/>
        <v/>
      </c>
      <c r="AN13" s="604" t="str">
        <f>IFERROR(INDEX(V!$N:$N,MATCH(AM13,V!$I:$I,0)),"")</f>
        <v/>
      </c>
      <c r="AO13" s="603" t="str">
        <f t="shared" si="8"/>
        <v/>
      </c>
      <c r="AP13" s="604" t="str">
        <f>IFERROR(INDEX(V!$N:$N,MATCH(AO13,V!$I:$I,0)),"")</f>
        <v/>
      </c>
    </row>
    <row r="14" spans="1:42" ht="12.75" customHeight="1" x14ac:dyDescent="0.2">
      <c r="A14" s="1319">
        <v>7</v>
      </c>
      <c r="B14" s="1352" t="s">
        <v>444</v>
      </c>
      <c r="C14" s="1323">
        <v>13</v>
      </c>
      <c r="D14" s="1324" t="s">
        <v>211</v>
      </c>
      <c r="E14" s="1325">
        <v>11</v>
      </c>
      <c r="F14" s="1315" t="str">
        <f>B12</f>
        <v>Kenneth Muusikus, Mait Metsla</v>
      </c>
      <c r="G14" s="1323">
        <v>7</v>
      </c>
      <c r="H14" s="1324" t="s">
        <v>211</v>
      </c>
      <c r="I14" s="1325">
        <v>13</v>
      </c>
      <c r="J14" s="1315" t="str">
        <f>B8</f>
        <v>Tõnu Kapper, Vladimir Ogneštšikov</v>
      </c>
      <c r="K14" s="1323">
        <v>3</v>
      </c>
      <c r="L14" s="1324" t="s">
        <v>211</v>
      </c>
      <c r="M14" s="1325">
        <v>13</v>
      </c>
      <c r="N14" s="1315" t="str">
        <f>B11</f>
        <v>Karla Purgats, Lemmit Toomra</v>
      </c>
      <c r="O14" s="1323">
        <v>4</v>
      </c>
      <c r="P14" s="1324" t="s">
        <v>211</v>
      </c>
      <c r="Q14" s="1325">
        <v>13</v>
      </c>
      <c r="R14" s="1315" t="str">
        <f>B13</f>
        <v>Klavdia Piik, Ülo Piik</v>
      </c>
      <c r="S14" s="1323">
        <v>13</v>
      </c>
      <c r="T14" s="1324" t="s">
        <v>211</v>
      </c>
      <c r="U14" s="1325">
        <v>4</v>
      </c>
      <c r="V14" s="1315" t="str">
        <f>B16</f>
        <v>Elmo Lageda, Tõnu Piik</v>
      </c>
      <c r="W14" s="1323"/>
      <c r="X14" s="1324" t="s">
        <v>211</v>
      </c>
      <c r="Y14" s="1325"/>
      <c r="Z14" s="1315"/>
      <c r="AA14" s="1330">
        <f t="shared" si="0"/>
        <v>2</v>
      </c>
      <c r="AB14" s="1331"/>
      <c r="AC14" s="1323">
        <f t="shared" si="1"/>
        <v>40</v>
      </c>
      <c r="AD14" s="1324" t="s">
        <v>211</v>
      </c>
      <c r="AE14" s="1326">
        <f t="shared" si="2"/>
        <v>54</v>
      </c>
      <c r="AF14" s="1327">
        <f t="shared" si="3"/>
        <v>-14</v>
      </c>
      <c r="AG14" s="663"/>
      <c r="AH14" s="499">
        <f t="shared" si="9"/>
        <v>114</v>
      </c>
      <c r="AI14" s="605" t="str">
        <f t="shared" si="5"/>
        <v>Henri Mitt</v>
      </c>
      <c r="AJ14" s="604">
        <f>IFERROR(INDEX(V!$N:$N,MATCH(AI14,V!$I:$I,0)),"")</f>
        <v>46.5</v>
      </c>
      <c r="AK14" s="605" t="str">
        <f t="shared" si="6"/>
        <v>Urmas Jõeäär</v>
      </c>
      <c r="AL14" s="604">
        <f>IFERROR(INDEX(V!$N:$N,MATCH(AK14,V!$I:$I,0)),"")</f>
        <v>67.5</v>
      </c>
      <c r="AM14" s="603" t="str">
        <f t="shared" si="7"/>
        <v/>
      </c>
      <c r="AN14" s="604" t="str">
        <f>IFERROR(INDEX(V!$N:$N,MATCH(AM14,V!$I:$I,0)),"")</f>
        <v/>
      </c>
      <c r="AO14" s="603" t="str">
        <f t="shared" si="8"/>
        <v/>
      </c>
      <c r="AP14" s="604" t="str">
        <f>IFERROR(INDEX(V!$N:$N,MATCH(AO14,V!$I:$I,0)),"")</f>
        <v/>
      </c>
    </row>
    <row r="15" spans="1:42" ht="12.75" customHeight="1" x14ac:dyDescent="0.2">
      <c r="A15" s="1319">
        <v>8</v>
      </c>
      <c r="B15" s="1352" t="s">
        <v>32</v>
      </c>
      <c r="C15" s="1323">
        <v>7</v>
      </c>
      <c r="D15" s="1324" t="s">
        <v>211</v>
      </c>
      <c r="E15" s="1325">
        <v>13</v>
      </c>
      <c r="F15" s="1315" t="str">
        <f>B10</f>
        <v>Jaan Sepp, Oskar Sepp</v>
      </c>
      <c r="G15" s="1323">
        <v>2</v>
      </c>
      <c r="H15" s="1324" t="s">
        <v>211</v>
      </c>
      <c r="I15" s="1325">
        <v>13</v>
      </c>
      <c r="J15" s="1315" t="str">
        <f>B12</f>
        <v>Kenneth Muusikus, Mait Metsla</v>
      </c>
      <c r="K15" s="1323">
        <v>13</v>
      </c>
      <c r="L15" s="1324" t="s">
        <v>211</v>
      </c>
      <c r="M15" s="1325">
        <v>4</v>
      </c>
      <c r="N15" s="1315" t="str">
        <f>B18</f>
        <v>Meelis Luud, Urmas Randlaine</v>
      </c>
      <c r="O15" s="1323">
        <v>13</v>
      </c>
      <c r="P15" s="1324" t="s">
        <v>211</v>
      </c>
      <c r="Q15" s="1325">
        <v>2</v>
      </c>
      <c r="R15" s="1315" t="str">
        <f>B19</f>
        <v>Enn Tokman, Tarmo Bombe</v>
      </c>
      <c r="S15" s="1323">
        <v>8</v>
      </c>
      <c r="T15" s="1324" t="s">
        <v>211</v>
      </c>
      <c r="U15" s="1325">
        <v>13</v>
      </c>
      <c r="V15" s="1315" t="str">
        <f>B8</f>
        <v>Tõnu Kapper, Vladimir Ogneštšikov</v>
      </c>
      <c r="W15" s="1323"/>
      <c r="X15" s="1324" t="s">
        <v>211</v>
      </c>
      <c r="Y15" s="1325"/>
      <c r="Z15" s="1315"/>
      <c r="AA15" s="1330">
        <f t="shared" si="0"/>
        <v>2</v>
      </c>
      <c r="AB15" s="1331"/>
      <c r="AC15" s="1323">
        <f t="shared" si="1"/>
        <v>43</v>
      </c>
      <c r="AD15" s="1324" t="s">
        <v>211</v>
      </c>
      <c r="AE15" s="1326">
        <f t="shared" si="2"/>
        <v>45</v>
      </c>
      <c r="AF15" s="1327">
        <f t="shared" si="3"/>
        <v>-2</v>
      </c>
      <c r="AG15" s="663"/>
      <c r="AH15" s="499">
        <f t="shared" si="9"/>
        <v>48</v>
      </c>
      <c r="AI15" s="605" t="str">
        <f t="shared" si="5"/>
        <v>Janek Tarto</v>
      </c>
      <c r="AJ15" s="604">
        <f>IFERROR(INDEX(V!$N:$N,MATCH(AI15,V!$I:$I,0)),"")</f>
        <v>34.5</v>
      </c>
      <c r="AK15" s="605" t="str">
        <f t="shared" si="6"/>
        <v>Romek Tarto</v>
      </c>
      <c r="AL15" s="604">
        <f>IFERROR(INDEX(V!$N:$N,MATCH(AK15,V!$I:$I,0)),"")</f>
        <v>13.5</v>
      </c>
      <c r="AM15" s="603" t="str">
        <f t="shared" si="7"/>
        <v/>
      </c>
      <c r="AN15" s="604" t="str">
        <f>IFERROR(INDEX(V!$N:$N,MATCH(AM15,V!$I:$I,0)),"")</f>
        <v/>
      </c>
      <c r="AO15" s="603" t="str">
        <f t="shared" si="8"/>
        <v/>
      </c>
      <c r="AP15" s="604" t="str">
        <f>IFERROR(INDEX(V!$N:$N,MATCH(AO15,V!$I:$I,0)),"")</f>
        <v/>
      </c>
    </row>
    <row r="16" spans="1:42" ht="12.75" customHeight="1" x14ac:dyDescent="0.2">
      <c r="A16" s="1319">
        <v>9</v>
      </c>
      <c r="B16" s="1352" t="s">
        <v>33</v>
      </c>
      <c r="C16" s="1323">
        <v>13</v>
      </c>
      <c r="D16" s="1324" t="s">
        <v>211</v>
      </c>
      <c r="E16" s="1325">
        <v>9</v>
      </c>
      <c r="F16" s="1315" t="str">
        <f>B19</f>
        <v>Enn Tokman, Tarmo Bombe</v>
      </c>
      <c r="G16" s="1323">
        <v>4</v>
      </c>
      <c r="H16" s="1324" t="s">
        <v>211</v>
      </c>
      <c r="I16" s="1325">
        <v>13</v>
      </c>
      <c r="J16" s="1315" t="str">
        <f>B10</f>
        <v>Jaan Sepp, Oskar Sepp</v>
      </c>
      <c r="K16" s="1323">
        <v>13</v>
      </c>
      <c r="L16" s="1324" t="s">
        <v>211</v>
      </c>
      <c r="M16" s="1325">
        <v>8</v>
      </c>
      <c r="N16" s="1315" t="str">
        <f>B12</f>
        <v>Kenneth Muusikus, Mait Metsla</v>
      </c>
      <c r="O16" s="1323">
        <v>6</v>
      </c>
      <c r="P16" s="1324" t="s">
        <v>211</v>
      </c>
      <c r="Q16" s="1325">
        <v>13</v>
      </c>
      <c r="R16" s="1315" t="str">
        <f>B11</f>
        <v>Karla Purgats, Lemmit Toomra</v>
      </c>
      <c r="S16" s="1323">
        <v>4</v>
      </c>
      <c r="T16" s="1324" t="s">
        <v>211</v>
      </c>
      <c r="U16" s="1325">
        <v>13</v>
      </c>
      <c r="V16" s="1315" t="str">
        <f>B14</f>
        <v>Henri Mitt, Urmas Jõeäär</v>
      </c>
      <c r="W16" s="1323"/>
      <c r="X16" s="1324" t="s">
        <v>211</v>
      </c>
      <c r="Y16" s="1325"/>
      <c r="Z16" s="1315"/>
      <c r="AA16" s="1330">
        <f t="shared" si="0"/>
        <v>2</v>
      </c>
      <c r="AB16" s="1331"/>
      <c r="AC16" s="1323">
        <f t="shared" si="1"/>
        <v>40</v>
      </c>
      <c r="AD16" s="1324" t="s">
        <v>211</v>
      </c>
      <c r="AE16" s="1326">
        <f t="shared" si="2"/>
        <v>56</v>
      </c>
      <c r="AF16" s="1327">
        <f t="shared" si="3"/>
        <v>-16</v>
      </c>
      <c r="AG16" s="663"/>
      <c r="AH16" s="499">
        <f t="shared" si="9"/>
        <v>180</v>
      </c>
      <c r="AI16" s="605" t="str">
        <f t="shared" si="5"/>
        <v>Elmo Lageda</v>
      </c>
      <c r="AJ16" s="604">
        <f>IFERROR(INDEX(V!$N:$N,MATCH(AI16,V!$I:$I,0)),"")</f>
        <v>91</v>
      </c>
      <c r="AK16" s="605" t="str">
        <f t="shared" si="6"/>
        <v>Tõnu Piik</v>
      </c>
      <c r="AL16" s="604">
        <f>IFERROR(INDEX(V!$N:$N,MATCH(AK16,V!$I:$I,0)),"")</f>
        <v>89</v>
      </c>
      <c r="AM16" s="603" t="str">
        <f t="shared" si="7"/>
        <v/>
      </c>
      <c r="AN16" s="604" t="str">
        <f>IFERROR(INDEX(V!$N:$N,MATCH(AM16,V!$I:$I,0)),"")</f>
        <v/>
      </c>
      <c r="AO16" s="603" t="str">
        <f t="shared" si="8"/>
        <v/>
      </c>
      <c r="AP16" s="604" t="str">
        <f>IFERROR(INDEX(V!$N:$N,MATCH(AO16,V!$I:$I,0)),"")</f>
        <v/>
      </c>
    </row>
    <row r="17" spans="1:42" ht="12.75" customHeight="1" x14ac:dyDescent="0.2">
      <c r="A17" s="1319">
        <v>10</v>
      </c>
      <c r="B17" s="1351" t="s">
        <v>445</v>
      </c>
      <c r="C17" s="1323">
        <v>12</v>
      </c>
      <c r="D17" s="1324" t="s">
        <v>211</v>
      </c>
      <c r="E17" s="1325">
        <v>12</v>
      </c>
      <c r="F17" s="1315" t="str">
        <f>B13</f>
        <v>Klavdia Piik, Ülo Piik</v>
      </c>
      <c r="G17" s="1323">
        <v>13</v>
      </c>
      <c r="H17" s="1324" t="s">
        <v>211</v>
      </c>
      <c r="I17" s="1325">
        <v>8</v>
      </c>
      <c r="J17" s="1315" t="str">
        <f>B19</f>
        <v>Enn Tokman, Tarmo Bombe</v>
      </c>
      <c r="K17" s="1323">
        <v>10</v>
      </c>
      <c r="L17" s="1324" t="s">
        <v>211</v>
      </c>
      <c r="M17" s="1325">
        <v>13</v>
      </c>
      <c r="N17" s="1315" t="str">
        <f>B10</f>
        <v>Jaan Sepp, Oskar Sepp</v>
      </c>
      <c r="O17" s="1323">
        <v>12</v>
      </c>
      <c r="P17" s="1324" t="s">
        <v>211</v>
      </c>
      <c r="Q17" s="1325">
        <v>13</v>
      </c>
      <c r="R17" s="1315" t="str">
        <f>B9</f>
        <v>Oksana Sažina, Oleg Rõndenkov</v>
      </c>
      <c r="S17" s="1323">
        <v>6</v>
      </c>
      <c r="T17" s="1324" t="s">
        <v>211</v>
      </c>
      <c r="U17" s="1325">
        <v>13</v>
      </c>
      <c r="V17" s="1315" t="str">
        <f>B12</f>
        <v>Kenneth Muusikus, Mait Metsla</v>
      </c>
      <c r="W17" s="1323"/>
      <c r="X17" s="1324" t="s">
        <v>211</v>
      </c>
      <c r="Y17" s="1325"/>
      <c r="Z17" s="1315"/>
      <c r="AA17" s="1330">
        <f t="shared" si="0"/>
        <v>1.5</v>
      </c>
      <c r="AB17" s="1331"/>
      <c r="AC17" s="1323">
        <f t="shared" si="1"/>
        <v>53</v>
      </c>
      <c r="AD17" s="1324" t="s">
        <v>211</v>
      </c>
      <c r="AE17" s="1326">
        <f t="shared" si="2"/>
        <v>59</v>
      </c>
      <c r="AF17" s="1327">
        <f t="shared" si="3"/>
        <v>-6</v>
      </c>
      <c r="AG17" s="663"/>
      <c r="AH17" s="499">
        <f t="shared" si="9"/>
        <v>72.5</v>
      </c>
      <c r="AI17" s="605" t="str">
        <f t="shared" si="5"/>
        <v>Brigitta Neiland</v>
      </c>
      <c r="AJ17" s="604">
        <f>IFERROR(INDEX(V!$N:$N,MATCH(AI17,V!$I:$I,0)),"")</f>
        <v>22.5</v>
      </c>
      <c r="AK17" s="605" t="str">
        <f t="shared" si="6"/>
        <v>Jaan Saar, Väino Aul</v>
      </c>
      <c r="AL17" s="604" t="str">
        <f>IFERROR(INDEX(V!$N:$N,MATCH(AK17,V!$I:$I,0)),"")</f>
        <v/>
      </c>
      <c r="AM17" s="603" t="str">
        <f t="shared" si="7"/>
        <v>Jaan Saar</v>
      </c>
      <c r="AN17" s="604">
        <f>IFERROR(INDEX(V!$N:$N,MATCH(AM17,V!$I:$I,0)),"")</f>
        <v>14</v>
      </c>
      <c r="AO17" s="603" t="str">
        <f t="shared" si="8"/>
        <v>Väino Aul</v>
      </c>
      <c r="AP17" s="604">
        <f>IFERROR(INDEX(V!$N:$N,MATCH(AO17,V!$I:$I,0)),"")</f>
        <v>36</v>
      </c>
    </row>
    <row r="18" spans="1:42" ht="12.75" customHeight="1" x14ac:dyDescent="0.2">
      <c r="A18" s="1319">
        <v>11</v>
      </c>
      <c r="B18" s="1353" t="s">
        <v>439</v>
      </c>
      <c r="C18" s="1323">
        <v>8</v>
      </c>
      <c r="D18" s="1324" t="s">
        <v>211</v>
      </c>
      <c r="E18" s="1325">
        <v>13</v>
      </c>
      <c r="F18" s="1315" t="str">
        <f>B9</f>
        <v>Oksana Sažina, Oleg Rõndenkov</v>
      </c>
      <c r="G18" s="1323">
        <v>9</v>
      </c>
      <c r="H18" s="1324" t="s">
        <v>211</v>
      </c>
      <c r="I18" s="1325">
        <v>13</v>
      </c>
      <c r="J18" s="1315" t="str">
        <f>B11</f>
        <v>Karla Purgats, Lemmit Toomra</v>
      </c>
      <c r="K18" s="1323">
        <v>4</v>
      </c>
      <c r="L18" s="1324" t="s">
        <v>211</v>
      </c>
      <c r="M18" s="1325">
        <v>13</v>
      </c>
      <c r="N18" s="1315" t="str">
        <f>B15</f>
        <v>Janek Tarto, Romek Tarto</v>
      </c>
      <c r="O18" s="1323">
        <v>7</v>
      </c>
      <c r="P18" s="1324" t="s">
        <v>211</v>
      </c>
      <c r="Q18" s="1325">
        <v>13</v>
      </c>
      <c r="R18" s="1315" t="str">
        <f>B12</f>
        <v>Kenneth Muusikus, Mait Metsla</v>
      </c>
      <c r="S18" s="1323">
        <v>13</v>
      </c>
      <c r="T18" s="1324" t="s">
        <v>211</v>
      </c>
      <c r="U18" s="1325">
        <v>8</v>
      </c>
      <c r="V18" s="1315" t="str">
        <f>B19</f>
        <v>Enn Tokman, Tarmo Bombe</v>
      </c>
      <c r="W18" s="1323"/>
      <c r="X18" s="1324" t="s">
        <v>211</v>
      </c>
      <c r="Y18" s="1325"/>
      <c r="Z18" s="1315"/>
      <c r="AA18" s="1330">
        <f t="shared" si="0"/>
        <v>1</v>
      </c>
      <c r="AB18" s="1331"/>
      <c r="AC18" s="1323">
        <f t="shared" si="1"/>
        <v>41</v>
      </c>
      <c r="AD18" s="1324" t="s">
        <v>211</v>
      </c>
      <c r="AE18" s="1326">
        <f t="shared" si="2"/>
        <v>60</v>
      </c>
      <c r="AF18" s="1327">
        <f t="shared" si="3"/>
        <v>-19</v>
      </c>
      <c r="AG18" s="663"/>
      <c r="AH18" s="499">
        <f t="shared" si="9"/>
        <v>114</v>
      </c>
      <c r="AI18" s="605" t="str">
        <f t="shared" si="5"/>
        <v>Meelis Luud</v>
      </c>
      <c r="AJ18" s="604">
        <f>IFERROR(INDEX(V!$N:$N,MATCH(AI18,V!$I:$I,0)),"")</f>
        <v>60.5</v>
      </c>
      <c r="AK18" s="605" t="str">
        <f t="shared" si="6"/>
        <v>Urmas Randlaine</v>
      </c>
      <c r="AL18" s="604">
        <f>IFERROR(INDEX(V!$N:$N,MATCH(AK18,V!$I:$I,0)),"")</f>
        <v>53.5</v>
      </c>
      <c r="AM18" s="603" t="str">
        <f t="shared" si="7"/>
        <v/>
      </c>
      <c r="AN18" s="604" t="str">
        <f>IFERROR(INDEX(V!$N:$N,MATCH(AM18,V!$I:$I,0)),"")</f>
        <v/>
      </c>
      <c r="AO18" s="603" t="str">
        <f t="shared" si="8"/>
        <v/>
      </c>
      <c r="AP18" s="604" t="str">
        <f>IFERROR(INDEX(V!$N:$N,MATCH(AO18,V!$I:$I,0)),"")</f>
        <v/>
      </c>
    </row>
    <row r="19" spans="1:42" ht="12.75" customHeight="1" x14ac:dyDescent="0.2">
      <c r="A19" s="1319">
        <v>12</v>
      </c>
      <c r="B19" s="1353" t="s">
        <v>39</v>
      </c>
      <c r="C19" s="1323">
        <v>9</v>
      </c>
      <c r="D19" s="1324" t="s">
        <v>211</v>
      </c>
      <c r="E19" s="1325">
        <v>13</v>
      </c>
      <c r="F19" s="1315" t="str">
        <f>B16</f>
        <v>Elmo Lageda, Tõnu Piik</v>
      </c>
      <c r="G19" s="1323">
        <v>8</v>
      </c>
      <c r="H19" s="1324" t="s">
        <v>211</v>
      </c>
      <c r="I19" s="1325">
        <v>13</v>
      </c>
      <c r="J19" s="1315" t="str">
        <f>B17</f>
        <v>Brigitta Neiland, Jaan Saar, Väino Aul</v>
      </c>
      <c r="K19" s="1323">
        <v>1</v>
      </c>
      <c r="L19" s="1324" t="s">
        <v>211</v>
      </c>
      <c r="M19" s="1325">
        <v>13</v>
      </c>
      <c r="N19" s="1315" t="str">
        <f>B13</f>
        <v>Klavdia Piik, Ülo Piik</v>
      </c>
      <c r="O19" s="1323">
        <v>2</v>
      </c>
      <c r="P19" s="1324" t="s">
        <v>211</v>
      </c>
      <c r="Q19" s="1325">
        <v>13</v>
      </c>
      <c r="R19" s="1315" t="str">
        <f>B15</f>
        <v>Janek Tarto, Romek Tarto</v>
      </c>
      <c r="S19" s="1323">
        <v>8</v>
      </c>
      <c r="T19" s="1324" t="s">
        <v>211</v>
      </c>
      <c r="U19" s="1325">
        <v>13</v>
      </c>
      <c r="V19" s="1315" t="str">
        <f>B18</f>
        <v>Meelis Luud, Urmas Randlaine</v>
      </c>
      <c r="W19" s="1323"/>
      <c r="X19" s="1324" t="s">
        <v>211</v>
      </c>
      <c r="Y19" s="1325"/>
      <c r="Z19" s="1315"/>
      <c r="AA19" s="1330">
        <f t="shared" si="0"/>
        <v>0</v>
      </c>
      <c r="AB19" s="1331"/>
      <c r="AC19" s="1323">
        <f t="shared" si="1"/>
        <v>28</v>
      </c>
      <c r="AD19" s="1324" t="s">
        <v>211</v>
      </c>
      <c r="AE19" s="1326">
        <f t="shared" si="2"/>
        <v>65</v>
      </c>
      <c r="AF19" s="1327">
        <f t="shared" si="3"/>
        <v>-37</v>
      </c>
      <c r="AG19" s="663"/>
      <c r="AH19" s="499">
        <f t="shared" ref="AH19" si="10">SUM(AJ19:AP19)</f>
        <v>65.5</v>
      </c>
      <c r="AI19" s="605" t="str">
        <f t="shared" si="5"/>
        <v>Enn Tokman</v>
      </c>
      <c r="AJ19" s="604">
        <f>IFERROR(INDEX(V!$N:$N,MATCH(AI19,V!$I:$I,0)),"")</f>
        <v>39.5</v>
      </c>
      <c r="AK19" s="605" t="str">
        <f t="shared" si="6"/>
        <v>Tarmo Bombe</v>
      </c>
      <c r="AL19" s="604">
        <f>IFERROR(INDEX(V!$N:$N,MATCH(AK19,V!$I:$I,0)),"")</f>
        <v>26</v>
      </c>
      <c r="AM19" s="603" t="str">
        <f t="shared" si="7"/>
        <v/>
      </c>
      <c r="AN19" s="604" t="str">
        <f>IFERROR(INDEX(V!$N:$N,MATCH(AM19,V!$I:$I,0)),"")</f>
        <v/>
      </c>
      <c r="AO19" s="603" t="str">
        <f t="shared" si="8"/>
        <v/>
      </c>
      <c r="AP19" s="604" t="str">
        <f>IFERROR(INDEX(V!$N:$N,MATCH(AO19,V!$I:$I,0)),"")</f>
        <v/>
      </c>
    </row>
    <row r="20" spans="1:42" ht="12.75" hidden="1" customHeight="1" x14ac:dyDescent="0.2">
      <c r="L20" s="32"/>
      <c r="M20" s="32"/>
      <c r="N20" s="32"/>
      <c r="T20" s="32"/>
      <c r="U20" s="32"/>
      <c r="V20" s="32"/>
      <c r="W20" s="32"/>
    </row>
    <row r="21" spans="1:42" ht="12.75" hidden="1" customHeight="1" x14ac:dyDescent="0.2">
      <c r="L21" s="32"/>
      <c r="M21" s="32"/>
      <c r="N21" s="32"/>
      <c r="T21" s="32"/>
      <c r="U21" s="32"/>
      <c r="V21" s="32"/>
      <c r="W21" s="32"/>
    </row>
    <row r="22" spans="1:42" ht="12.75" hidden="1" customHeight="1" x14ac:dyDescent="0.2">
      <c r="L22" s="32"/>
      <c r="M22" s="32"/>
      <c r="N22" s="32"/>
      <c r="T22" s="32"/>
      <c r="U22" s="32"/>
      <c r="V22" s="32"/>
      <c r="W22" s="32"/>
    </row>
    <row r="23" spans="1:42" ht="12.75" hidden="1" customHeight="1" x14ac:dyDescent="0.2">
      <c r="L23" s="32"/>
      <c r="M23" s="32"/>
      <c r="N23" s="32"/>
      <c r="T23" s="32"/>
      <c r="U23" s="32"/>
      <c r="V23" s="32"/>
      <c r="W23" s="32"/>
    </row>
    <row r="24" spans="1:42" ht="12.75" hidden="1" customHeight="1" x14ac:dyDescent="0.2">
      <c r="L24" s="32"/>
      <c r="M24" s="32"/>
      <c r="N24" s="32"/>
      <c r="T24" s="32"/>
      <c r="U24" s="32"/>
      <c r="V24" s="32"/>
      <c r="W24" s="32"/>
    </row>
    <row r="25" spans="1:42" ht="12.75" hidden="1" customHeight="1" x14ac:dyDescent="0.2">
      <c r="L25" s="32"/>
      <c r="M25" s="32"/>
      <c r="N25" s="32"/>
      <c r="T25" s="32"/>
      <c r="U25" s="32"/>
      <c r="V25" s="32"/>
      <c r="W25" s="32"/>
    </row>
    <row r="26" spans="1:42" ht="12.75" hidden="1" customHeight="1" x14ac:dyDescent="0.2">
      <c r="A26" s="1360"/>
      <c r="B26" s="1360"/>
      <c r="C26" s="1360"/>
      <c r="D26" s="1360"/>
      <c r="E26" s="1360"/>
      <c r="F26" s="1360"/>
      <c r="G26" s="1360"/>
      <c r="H26" s="1360"/>
      <c r="I26" s="1360"/>
      <c r="J26" s="1360"/>
      <c r="K26" s="1360"/>
      <c r="L26" s="1360"/>
      <c r="M26" s="1360"/>
      <c r="N26" s="1360"/>
      <c r="T26" s="32"/>
      <c r="U26" s="32"/>
      <c r="V26" s="32"/>
      <c r="W26" s="32"/>
    </row>
    <row r="27" spans="1:42" ht="12.75" hidden="1" customHeight="1" x14ac:dyDescent="0.2">
      <c r="A27" s="1360"/>
      <c r="B27" s="1360"/>
      <c r="C27" s="1360"/>
      <c r="D27" s="1360"/>
      <c r="E27" s="1360"/>
      <c r="F27" s="1360"/>
      <c r="G27" s="1360"/>
      <c r="H27" s="1360"/>
      <c r="I27" s="1360"/>
      <c r="J27" s="1360"/>
      <c r="K27" s="1360"/>
      <c r="L27" s="1360"/>
      <c r="M27" s="1360"/>
      <c r="N27" s="1360"/>
      <c r="T27" s="32"/>
      <c r="U27" s="32"/>
      <c r="V27" s="32"/>
      <c r="W27" s="32"/>
    </row>
    <row r="28" spans="1:42" ht="12.75" hidden="1" customHeight="1" x14ac:dyDescent="0.2">
      <c r="A28" s="1360"/>
      <c r="B28" s="1360"/>
      <c r="C28" s="1360"/>
      <c r="D28" s="1360"/>
      <c r="E28" s="1360"/>
      <c r="F28" s="1360"/>
      <c r="G28" s="1360"/>
      <c r="H28" s="1360"/>
      <c r="I28" s="1360"/>
      <c r="J28" s="1360"/>
      <c r="K28" s="1360"/>
      <c r="L28" s="1360"/>
      <c r="M28" s="1360"/>
      <c r="N28" s="1360"/>
      <c r="T28" s="32"/>
      <c r="U28" s="32"/>
      <c r="V28" s="32"/>
      <c r="W28" s="223"/>
    </row>
    <row r="29" spans="1:42" ht="12.75" hidden="1" customHeight="1" x14ac:dyDescent="0.2">
      <c r="A29" s="1360"/>
      <c r="B29" s="1360"/>
      <c r="C29" s="1360"/>
      <c r="D29" s="1360"/>
      <c r="E29" s="1360"/>
      <c r="F29" s="1360"/>
      <c r="G29" s="1360"/>
      <c r="H29" s="1360"/>
      <c r="I29" s="1360"/>
      <c r="J29" s="1360"/>
      <c r="K29" s="1360"/>
      <c r="L29" s="1360"/>
      <c r="M29" s="1360"/>
      <c r="N29" s="1360"/>
      <c r="T29" s="32"/>
      <c r="U29" s="32"/>
      <c r="V29" s="32"/>
      <c r="W29" s="223"/>
    </row>
    <row r="30" spans="1:42" ht="12.75" hidden="1" customHeight="1" x14ac:dyDescent="0.2">
      <c r="A30" s="1360"/>
      <c r="B30" s="1360"/>
      <c r="C30" s="1360"/>
      <c r="D30" s="1360"/>
      <c r="E30" s="1360"/>
      <c r="F30" s="1360"/>
      <c r="G30" s="1360"/>
      <c r="H30" s="1360"/>
      <c r="I30" s="1360"/>
      <c r="J30" s="1360"/>
      <c r="K30" s="1360"/>
      <c r="L30" s="1360"/>
      <c r="M30" s="1360"/>
      <c r="N30" s="1360"/>
      <c r="T30" s="32"/>
      <c r="U30" s="32"/>
      <c r="V30" s="32"/>
      <c r="W30" s="223"/>
    </row>
    <row r="31" spans="1:42" ht="12.75" hidden="1" customHeight="1" x14ac:dyDescent="0.2">
      <c r="A31" s="1360"/>
      <c r="B31" s="1360"/>
      <c r="C31" s="1360"/>
      <c r="D31" s="1360"/>
      <c r="E31" s="1360"/>
      <c r="F31" s="1360"/>
      <c r="G31" s="1360"/>
      <c r="H31" s="1360"/>
      <c r="I31" s="1360"/>
      <c r="J31" s="1360"/>
      <c r="K31" s="1360"/>
      <c r="L31" s="1360"/>
      <c r="M31" s="1360"/>
      <c r="N31" s="1360"/>
      <c r="T31" s="32"/>
      <c r="U31" s="32"/>
      <c r="V31" s="32"/>
      <c r="W31" s="223"/>
    </row>
    <row r="32" spans="1:42" ht="12.75" hidden="1" customHeight="1" x14ac:dyDescent="0.2">
      <c r="A32" s="1360"/>
      <c r="B32" s="1360"/>
      <c r="C32" s="1360"/>
      <c r="D32" s="1360"/>
      <c r="E32" s="1360"/>
      <c r="F32" s="1360"/>
      <c r="G32" s="1360"/>
      <c r="H32" s="1360"/>
      <c r="I32" s="1360"/>
      <c r="J32" s="1360"/>
      <c r="K32" s="1360"/>
      <c r="L32" s="1360"/>
      <c r="M32" s="1360"/>
      <c r="N32" s="1360"/>
      <c r="T32" s="32"/>
      <c r="U32" s="32"/>
      <c r="V32" s="32"/>
      <c r="W32" s="223"/>
    </row>
    <row r="33" spans="1:23" ht="12.75" hidden="1" customHeight="1" x14ac:dyDescent="0.2">
      <c r="A33" s="1360"/>
      <c r="B33" s="1360"/>
      <c r="C33" s="1360"/>
      <c r="D33" s="1360"/>
      <c r="E33" s="1360"/>
      <c r="F33" s="1360"/>
      <c r="G33" s="1360"/>
      <c r="H33" s="1360"/>
      <c r="I33" s="1360"/>
      <c r="J33" s="1360"/>
      <c r="K33" s="1360"/>
      <c r="L33" s="1360"/>
      <c r="M33" s="1360"/>
      <c r="N33" s="1360"/>
      <c r="T33" s="32"/>
      <c r="U33" s="32"/>
      <c r="V33" s="32"/>
      <c r="W33" s="223"/>
    </row>
    <row r="34" spans="1:23" ht="12.75" hidden="1" customHeight="1" x14ac:dyDescent="0.2">
      <c r="A34" s="1360"/>
      <c r="B34" s="1360"/>
      <c r="C34" s="1360"/>
      <c r="D34" s="1360"/>
      <c r="E34" s="1360"/>
      <c r="F34" s="1360"/>
      <c r="G34" s="1360"/>
      <c r="H34" s="1360"/>
      <c r="I34" s="1360"/>
      <c r="J34" s="1360"/>
      <c r="K34" s="1360"/>
      <c r="L34" s="1360"/>
      <c r="M34" s="1360"/>
      <c r="N34" s="1360"/>
      <c r="T34" s="32"/>
      <c r="U34" s="32"/>
      <c r="V34" s="32"/>
      <c r="W34" s="223"/>
    </row>
    <row r="35" spans="1:23" ht="12.75" hidden="1" customHeight="1" x14ac:dyDescent="0.2">
      <c r="A35" s="1360"/>
      <c r="B35" s="1360"/>
      <c r="C35" s="1360"/>
      <c r="D35" s="1360"/>
      <c r="E35" s="1360"/>
      <c r="F35" s="1360"/>
      <c r="G35" s="1360"/>
      <c r="H35" s="1360"/>
      <c r="I35" s="1360"/>
      <c r="J35" s="1360"/>
      <c r="K35" s="1360"/>
      <c r="L35" s="1360"/>
      <c r="M35" s="1360"/>
      <c r="N35" s="1360"/>
      <c r="T35" s="32"/>
      <c r="U35" s="32"/>
      <c r="V35" s="32"/>
      <c r="W35" s="223"/>
    </row>
    <row r="36" spans="1:23" ht="12.75" hidden="1" customHeight="1" x14ac:dyDescent="0.2">
      <c r="A36" s="1360"/>
      <c r="B36" s="1360"/>
      <c r="C36" s="1360"/>
      <c r="D36" s="1360"/>
      <c r="E36" s="1360"/>
      <c r="F36" s="1360"/>
      <c r="G36" s="1360"/>
      <c r="H36" s="1360"/>
      <c r="I36" s="1360"/>
      <c r="J36" s="1360"/>
      <c r="K36" s="1360"/>
      <c r="L36" s="1360"/>
      <c r="M36" s="1360"/>
      <c r="N36" s="1360"/>
      <c r="T36" s="32"/>
      <c r="U36" s="32"/>
      <c r="V36" s="32"/>
      <c r="W36" s="223"/>
    </row>
    <row r="37" spans="1:23" ht="12.75" hidden="1" customHeight="1" x14ac:dyDescent="0.2">
      <c r="A37" s="1360"/>
      <c r="B37" s="1360"/>
      <c r="C37" s="1360"/>
      <c r="D37" s="1360"/>
      <c r="E37" s="1360"/>
      <c r="F37" s="1360"/>
      <c r="G37" s="1360"/>
      <c r="H37" s="1360"/>
      <c r="I37" s="1360"/>
      <c r="J37" s="1360"/>
      <c r="K37" s="1360"/>
      <c r="L37" s="1360"/>
      <c r="M37" s="1360"/>
      <c r="N37" s="1360"/>
      <c r="T37" s="32"/>
      <c r="U37" s="32"/>
      <c r="V37" s="32"/>
      <c r="W37" s="223"/>
    </row>
    <row r="38" spans="1:23" ht="12.75" hidden="1" customHeight="1" x14ac:dyDescent="0.2">
      <c r="A38" s="1360"/>
      <c r="B38" s="1360"/>
      <c r="C38" s="1360"/>
      <c r="D38" s="1360"/>
      <c r="E38" s="1360"/>
      <c r="F38" s="1360"/>
      <c r="G38" s="1360"/>
      <c r="H38" s="1360"/>
      <c r="I38" s="1360"/>
      <c r="J38" s="1360"/>
      <c r="K38" s="1360"/>
      <c r="L38" s="1360"/>
      <c r="M38" s="1360"/>
      <c r="N38" s="1360"/>
      <c r="T38" s="32"/>
      <c r="U38" s="32"/>
      <c r="V38" s="32"/>
      <c r="W38" s="223"/>
    </row>
    <row r="39" spans="1:23" ht="12.75" hidden="1" customHeight="1" x14ac:dyDescent="0.2">
      <c r="A39" s="1360"/>
      <c r="B39" s="1360"/>
      <c r="C39" s="1360"/>
      <c r="D39" s="1360"/>
      <c r="E39" s="1360"/>
      <c r="F39" s="1360"/>
      <c r="G39" s="1360"/>
      <c r="H39" s="1360"/>
      <c r="I39" s="1360"/>
      <c r="J39" s="1360"/>
      <c r="K39" s="1360"/>
      <c r="L39" s="1360"/>
      <c r="M39" s="1360"/>
      <c r="N39" s="1360"/>
      <c r="T39" s="32"/>
      <c r="U39" s="32"/>
      <c r="V39" s="32"/>
      <c r="W39" s="223"/>
    </row>
    <row r="40" spans="1:23" ht="12.75" hidden="1" customHeight="1" x14ac:dyDescent="0.2">
      <c r="A40" s="1360"/>
      <c r="B40" s="1360"/>
      <c r="C40" s="1360"/>
      <c r="D40" s="1360"/>
      <c r="E40" s="1360"/>
      <c r="F40" s="1360"/>
      <c r="G40" s="1360"/>
      <c r="H40" s="1360"/>
      <c r="I40" s="1360"/>
      <c r="J40" s="1360"/>
      <c r="K40" s="1360"/>
      <c r="L40" s="1360"/>
      <c r="M40" s="1360"/>
      <c r="N40" s="1360"/>
      <c r="T40" s="32"/>
      <c r="U40" s="32"/>
      <c r="V40" s="32"/>
      <c r="W40" s="223"/>
    </row>
    <row r="41" spans="1:23" ht="12.75" hidden="1" customHeight="1" x14ac:dyDescent="0.2">
      <c r="A41" s="1360"/>
      <c r="B41" s="1360"/>
      <c r="C41" s="1360"/>
      <c r="D41" s="1360"/>
      <c r="E41" s="1360"/>
      <c r="F41" s="1360"/>
      <c r="G41" s="1360"/>
      <c r="H41" s="1360"/>
      <c r="I41" s="1360"/>
      <c r="J41" s="1360"/>
      <c r="K41" s="1360"/>
      <c r="L41" s="1360"/>
      <c r="M41" s="1360"/>
      <c r="N41" s="1360"/>
      <c r="T41" s="32"/>
      <c r="U41" s="32"/>
      <c r="V41" s="32"/>
      <c r="W41" s="223"/>
    </row>
    <row r="42" spans="1:23" ht="12.75" hidden="1" customHeight="1" x14ac:dyDescent="0.2">
      <c r="A42" s="1360"/>
      <c r="B42" s="1360"/>
      <c r="C42" s="1360"/>
      <c r="D42" s="1360"/>
      <c r="E42" s="1360"/>
      <c r="F42" s="1360"/>
      <c r="G42" s="1360"/>
      <c r="H42" s="1360"/>
      <c r="I42" s="1360"/>
      <c r="J42" s="1360"/>
      <c r="K42" s="1360"/>
      <c r="L42" s="1360"/>
      <c r="M42" s="1360"/>
      <c r="N42" s="1360"/>
      <c r="T42" s="32"/>
      <c r="U42" s="32"/>
      <c r="V42" s="32"/>
      <c r="W42" s="223"/>
    </row>
    <row r="43" spans="1:23" ht="12.75" hidden="1" customHeight="1" x14ac:dyDescent="0.2">
      <c r="A43" s="1360"/>
      <c r="B43" s="1360"/>
      <c r="C43" s="1360"/>
      <c r="D43" s="1360"/>
      <c r="E43" s="1360"/>
      <c r="F43" s="1360"/>
      <c r="G43" s="1360"/>
      <c r="H43" s="1360"/>
      <c r="I43" s="1360"/>
      <c r="J43" s="1360"/>
      <c r="K43" s="1360"/>
      <c r="L43" s="1360"/>
      <c r="M43" s="1360"/>
      <c r="N43" s="1360"/>
      <c r="T43" s="32"/>
      <c r="U43" s="32"/>
      <c r="V43" s="32"/>
      <c r="W43" s="223"/>
    </row>
    <row r="44" spans="1:23" ht="12.75" hidden="1" customHeight="1" x14ac:dyDescent="0.2">
      <c r="A44" s="1360"/>
      <c r="B44" s="1360"/>
      <c r="C44" s="1360"/>
      <c r="D44" s="1360"/>
      <c r="E44" s="1360"/>
      <c r="F44" s="1360"/>
      <c r="G44" s="1360"/>
      <c r="H44" s="1360"/>
      <c r="I44" s="1360"/>
      <c r="J44" s="1360"/>
      <c r="K44" s="1360"/>
      <c r="L44" s="1360"/>
      <c r="M44" s="1360"/>
      <c r="N44" s="1360"/>
      <c r="T44" s="32"/>
      <c r="U44" s="32"/>
      <c r="V44" s="32"/>
      <c r="W44" s="223"/>
    </row>
    <row r="45" spans="1:23" ht="12.75" hidden="1" customHeight="1" x14ac:dyDescent="0.2">
      <c r="A45" s="1360"/>
      <c r="B45" s="1360"/>
      <c r="C45" s="1360"/>
      <c r="D45" s="1360"/>
      <c r="E45" s="1360"/>
      <c r="F45" s="1360"/>
      <c r="G45" s="1360"/>
      <c r="H45" s="1360"/>
      <c r="I45" s="1360"/>
      <c r="J45" s="1360"/>
      <c r="K45" s="1360"/>
      <c r="L45" s="1360"/>
      <c r="M45" s="1360"/>
      <c r="N45" s="1360"/>
      <c r="T45" s="32"/>
      <c r="U45" s="32"/>
      <c r="V45" s="32"/>
      <c r="W45" s="223"/>
    </row>
    <row r="46" spans="1:23" ht="12.75" hidden="1" customHeight="1" x14ac:dyDescent="0.2">
      <c r="A46" s="1360"/>
      <c r="B46" s="1360"/>
      <c r="C46" s="1360"/>
      <c r="D46" s="1360"/>
      <c r="E46" s="1360"/>
      <c r="F46" s="1360"/>
      <c r="G46" s="1360"/>
      <c r="H46" s="1360"/>
      <c r="I46" s="1360"/>
      <c r="J46" s="1360"/>
      <c r="K46" s="1360"/>
      <c r="L46" s="1360"/>
      <c r="M46" s="1360"/>
      <c r="N46" s="1360"/>
      <c r="T46" s="32"/>
      <c r="U46" s="32"/>
      <c r="V46" s="32"/>
      <c r="W46" s="223"/>
    </row>
    <row r="47" spans="1:23" ht="12.75" hidden="1" customHeight="1" x14ac:dyDescent="0.2">
      <c r="A47" s="1360"/>
      <c r="B47" s="1360"/>
      <c r="C47" s="1360"/>
      <c r="D47" s="1360"/>
      <c r="E47" s="1360"/>
      <c r="F47" s="1360"/>
      <c r="G47" s="1360"/>
      <c r="H47" s="1360"/>
      <c r="I47" s="1360"/>
      <c r="J47" s="1360"/>
      <c r="K47" s="1360"/>
      <c r="L47" s="1360"/>
      <c r="M47" s="1360"/>
      <c r="N47" s="1360"/>
      <c r="T47" s="32"/>
      <c r="U47" s="32"/>
      <c r="V47" s="32"/>
      <c r="W47" s="223"/>
    </row>
    <row r="48" spans="1:23" ht="12.75" hidden="1" customHeight="1" x14ac:dyDescent="0.2">
      <c r="A48" s="1360"/>
      <c r="B48" s="1360"/>
      <c r="C48" s="1360"/>
      <c r="D48" s="1360"/>
      <c r="E48" s="1360"/>
      <c r="F48" s="1360"/>
      <c r="G48" s="1360"/>
      <c r="H48" s="1360"/>
      <c r="I48" s="1360"/>
      <c r="J48" s="1360"/>
      <c r="K48" s="1360"/>
      <c r="L48" s="1360"/>
      <c r="M48" s="1360"/>
      <c r="N48" s="1360"/>
      <c r="T48" s="32"/>
      <c r="U48" s="32"/>
      <c r="V48" s="32"/>
      <c r="W48" s="223"/>
    </row>
    <row r="49" spans="1:23" ht="12.75" hidden="1" customHeight="1" x14ac:dyDescent="0.2">
      <c r="A49" s="1360"/>
      <c r="B49" s="1360"/>
      <c r="C49" s="1360"/>
      <c r="D49" s="1360"/>
      <c r="E49" s="1360"/>
      <c r="F49" s="1360"/>
      <c r="G49" s="1360"/>
      <c r="H49" s="1360"/>
      <c r="I49" s="1360"/>
      <c r="J49" s="1360"/>
      <c r="K49" s="1360"/>
      <c r="L49" s="1360"/>
      <c r="M49" s="1360"/>
      <c r="N49" s="1360"/>
      <c r="T49" s="32"/>
      <c r="U49" s="32"/>
      <c r="V49" s="32"/>
      <c r="W49" s="223"/>
    </row>
    <row r="50" spans="1:23" ht="12.75" hidden="1" customHeight="1" x14ac:dyDescent="0.2">
      <c r="A50" s="1360"/>
      <c r="B50" s="1360"/>
      <c r="C50" s="1360"/>
      <c r="D50" s="1360"/>
      <c r="E50" s="1360"/>
      <c r="F50" s="1360"/>
      <c r="G50" s="1360"/>
      <c r="H50" s="1360"/>
      <c r="I50" s="1360"/>
      <c r="J50" s="1360"/>
      <c r="K50" s="1360"/>
      <c r="L50" s="1360"/>
      <c r="M50" s="1360"/>
      <c r="N50" s="1360"/>
      <c r="T50" s="32"/>
      <c r="U50" s="32"/>
      <c r="V50" s="32"/>
      <c r="W50" s="223"/>
    </row>
    <row r="51" spans="1:23" ht="12.75" hidden="1" customHeight="1" x14ac:dyDescent="0.2">
      <c r="A51" s="1360"/>
      <c r="B51" s="1360"/>
      <c r="C51" s="1360"/>
      <c r="D51" s="1360"/>
      <c r="E51" s="1360"/>
      <c r="F51" s="1360"/>
      <c r="G51" s="1360"/>
      <c r="H51" s="1360"/>
      <c r="I51" s="1360"/>
      <c r="J51" s="1360"/>
      <c r="K51" s="1360"/>
      <c r="L51" s="1360"/>
      <c r="M51" s="1360"/>
      <c r="N51" s="1360"/>
      <c r="T51" s="32"/>
      <c r="U51" s="32"/>
      <c r="V51" s="32"/>
      <c r="W51" s="223"/>
    </row>
    <row r="52" spans="1:23" ht="12.75" hidden="1" customHeight="1" x14ac:dyDescent="0.2">
      <c r="A52" s="1360"/>
      <c r="B52" s="1360"/>
      <c r="C52" s="1360"/>
      <c r="D52" s="1360"/>
      <c r="E52" s="1360"/>
      <c r="F52" s="1360"/>
      <c r="G52" s="1360"/>
      <c r="H52" s="1360"/>
      <c r="I52" s="1360"/>
      <c r="J52" s="1360"/>
      <c r="K52" s="1360"/>
      <c r="L52" s="1360"/>
      <c r="M52" s="1360"/>
      <c r="N52" s="1360"/>
      <c r="T52" s="32"/>
      <c r="U52" s="32"/>
      <c r="V52" s="32"/>
      <c r="W52" s="223"/>
    </row>
    <row r="53" spans="1:23" ht="12.75" hidden="1" customHeight="1" x14ac:dyDescent="0.2">
      <c r="A53" s="1360"/>
      <c r="B53" s="1360"/>
      <c r="C53" s="1360"/>
      <c r="D53" s="1360"/>
      <c r="E53" s="1360"/>
      <c r="F53" s="1360"/>
      <c r="G53" s="1360"/>
      <c r="H53" s="1360"/>
      <c r="I53" s="1360"/>
      <c r="J53" s="1360"/>
      <c r="K53" s="1360"/>
      <c r="L53" s="1360"/>
      <c r="M53" s="1360"/>
      <c r="N53" s="1360"/>
      <c r="T53" s="32"/>
      <c r="U53" s="32"/>
      <c r="V53" s="32"/>
      <c r="W53" s="223"/>
    </row>
    <row r="54" spans="1:23" ht="12.75" hidden="1" customHeight="1" x14ac:dyDescent="0.2">
      <c r="A54" s="1360"/>
      <c r="B54" s="1360"/>
      <c r="C54" s="1360"/>
      <c r="D54" s="1360"/>
      <c r="E54" s="1360"/>
      <c r="F54" s="1360"/>
      <c r="G54" s="1360"/>
      <c r="H54" s="1360"/>
      <c r="I54" s="1360"/>
      <c r="J54" s="1360"/>
      <c r="K54" s="1360"/>
      <c r="L54" s="1360"/>
      <c r="M54" s="1360"/>
      <c r="N54" s="1360"/>
      <c r="T54" s="32"/>
      <c r="U54" s="32"/>
      <c r="V54" s="32"/>
      <c r="W54" s="223"/>
    </row>
    <row r="55" spans="1:23" ht="12.75" hidden="1" customHeight="1" x14ac:dyDescent="0.2">
      <c r="A55" s="1360"/>
      <c r="B55" s="1360"/>
      <c r="C55" s="1360"/>
      <c r="D55" s="1360"/>
      <c r="E55" s="1360"/>
      <c r="F55" s="1360"/>
      <c r="G55" s="1360"/>
      <c r="H55" s="1360"/>
      <c r="I55" s="1360"/>
      <c r="J55" s="1360"/>
      <c r="K55" s="1360"/>
      <c r="L55" s="1360"/>
      <c r="M55" s="1360"/>
      <c r="N55" s="1360"/>
      <c r="T55" s="32"/>
      <c r="U55" s="32"/>
      <c r="V55" s="32"/>
      <c r="W55" s="223"/>
    </row>
    <row r="56" spans="1:23" ht="12.75" hidden="1" customHeight="1" x14ac:dyDescent="0.2">
      <c r="A56" s="1360"/>
      <c r="B56" s="1360"/>
      <c r="C56" s="1360"/>
      <c r="D56" s="1360"/>
      <c r="E56" s="1360"/>
      <c r="F56" s="1360"/>
      <c r="G56" s="1360"/>
      <c r="H56" s="1360"/>
      <c r="I56" s="1360"/>
      <c r="J56" s="1360"/>
      <c r="K56" s="1360"/>
      <c r="L56" s="1360"/>
      <c r="M56" s="1360"/>
      <c r="N56" s="1360"/>
      <c r="T56" s="32"/>
      <c r="U56" s="32"/>
      <c r="V56" s="32"/>
      <c r="W56" s="223"/>
    </row>
    <row r="57" spans="1:23" ht="12.75" hidden="1" customHeight="1" x14ac:dyDescent="0.2">
      <c r="A57" s="1360"/>
      <c r="B57" s="1360"/>
      <c r="C57" s="1360"/>
      <c r="D57" s="1360"/>
      <c r="E57" s="1360"/>
      <c r="F57" s="1360"/>
      <c r="G57" s="1360"/>
      <c r="H57" s="1360"/>
      <c r="I57" s="1360"/>
      <c r="J57" s="1360"/>
      <c r="K57" s="1360"/>
      <c r="L57" s="1360"/>
      <c r="M57" s="1360"/>
      <c r="N57" s="1360"/>
      <c r="T57" s="32"/>
      <c r="U57" s="32"/>
      <c r="V57" s="32"/>
      <c r="W57" s="223"/>
    </row>
    <row r="58" spans="1:23" ht="12.75" hidden="1" customHeight="1" x14ac:dyDescent="0.2">
      <c r="A58" s="1360"/>
      <c r="B58" s="1360"/>
      <c r="C58" s="1360"/>
      <c r="D58" s="1360"/>
      <c r="E58" s="1360"/>
      <c r="F58" s="1360"/>
      <c r="G58" s="1360"/>
      <c r="H58" s="1360"/>
      <c r="I58" s="1360"/>
      <c r="J58" s="1360"/>
      <c r="K58" s="1360"/>
      <c r="L58" s="1360"/>
      <c r="M58" s="1360"/>
      <c r="N58" s="1360"/>
      <c r="T58" s="32"/>
      <c r="U58" s="32"/>
      <c r="V58" s="32"/>
      <c r="W58" s="223"/>
    </row>
    <row r="59" spans="1:23" ht="12.75" hidden="1" customHeight="1" x14ac:dyDescent="0.2">
      <c r="A59" s="1360"/>
      <c r="B59" s="1360"/>
      <c r="C59" s="1360"/>
      <c r="D59" s="1360"/>
      <c r="E59" s="1360"/>
      <c r="F59" s="1360"/>
      <c r="G59" s="1360"/>
      <c r="H59" s="1360"/>
      <c r="I59" s="1360"/>
      <c r="J59" s="1360"/>
      <c r="K59" s="1360"/>
      <c r="L59" s="1360"/>
      <c r="M59" s="1360"/>
      <c r="N59" s="1360"/>
      <c r="T59" s="32"/>
      <c r="U59" s="32"/>
      <c r="V59" s="32"/>
      <c r="W59" s="223"/>
    </row>
    <row r="60" spans="1:23" ht="12.75" hidden="1" customHeight="1" x14ac:dyDescent="0.2">
      <c r="A60" s="1360"/>
      <c r="B60" s="1360"/>
      <c r="C60" s="1360"/>
      <c r="D60" s="1360"/>
      <c r="E60" s="1360"/>
      <c r="F60" s="1360"/>
      <c r="G60" s="1360"/>
      <c r="H60" s="1360"/>
      <c r="I60" s="1360"/>
      <c r="J60" s="1360"/>
      <c r="K60" s="1360"/>
      <c r="L60" s="1360"/>
      <c r="M60" s="1360"/>
      <c r="N60" s="1360"/>
      <c r="T60" s="32"/>
      <c r="U60" s="32"/>
      <c r="V60" s="32"/>
      <c r="W60" s="223"/>
    </row>
    <row r="61" spans="1:23" ht="12.75" hidden="1" customHeight="1" x14ac:dyDescent="0.2">
      <c r="A61" s="1360"/>
      <c r="B61" s="1360"/>
      <c r="C61" s="1360"/>
      <c r="D61" s="1360"/>
      <c r="E61" s="1360"/>
      <c r="F61" s="1360"/>
      <c r="G61" s="1360"/>
      <c r="H61" s="1360"/>
      <c r="I61" s="1360"/>
      <c r="J61" s="1360"/>
      <c r="K61" s="1360"/>
      <c r="L61" s="1360"/>
      <c r="M61" s="1360"/>
      <c r="N61" s="1360"/>
      <c r="T61" s="32"/>
      <c r="U61" s="32"/>
      <c r="V61" s="32"/>
      <c r="W61" s="223"/>
    </row>
    <row r="62" spans="1:23" ht="12.75" hidden="1" customHeight="1" x14ac:dyDescent="0.2">
      <c r="A62" s="1360"/>
      <c r="B62" s="1360"/>
      <c r="C62" s="1360"/>
      <c r="D62" s="1360"/>
      <c r="E62" s="1360"/>
      <c r="F62" s="1360"/>
      <c r="G62" s="1360"/>
      <c r="H62" s="1360"/>
      <c r="I62" s="1360"/>
      <c r="J62" s="1360"/>
      <c r="K62" s="1360"/>
      <c r="L62" s="1360"/>
      <c r="M62" s="1360"/>
      <c r="N62" s="1360"/>
      <c r="T62" s="32"/>
      <c r="U62" s="32"/>
      <c r="V62" s="32"/>
      <c r="W62" s="223"/>
    </row>
    <row r="63" spans="1:23" ht="12.75" hidden="1" customHeight="1" x14ac:dyDescent="0.2">
      <c r="A63" s="1360"/>
      <c r="B63" s="1360"/>
      <c r="C63" s="1360"/>
      <c r="D63" s="1360"/>
      <c r="E63" s="1360"/>
      <c r="F63" s="1360"/>
      <c r="G63" s="1360"/>
      <c r="H63" s="1360"/>
      <c r="I63" s="1360"/>
      <c r="J63" s="1360"/>
      <c r="K63" s="1360"/>
      <c r="L63" s="1360"/>
      <c r="M63" s="1360"/>
      <c r="N63" s="1360"/>
      <c r="T63" s="32"/>
      <c r="U63" s="32"/>
      <c r="V63" s="32"/>
      <c r="W63" s="223"/>
    </row>
    <row r="64" spans="1:23" ht="12.75" hidden="1" customHeight="1" x14ac:dyDescent="0.2">
      <c r="A64" s="1360"/>
      <c r="B64" s="1360"/>
      <c r="C64" s="1360"/>
      <c r="D64" s="1360"/>
      <c r="E64" s="1360"/>
      <c r="F64" s="1360"/>
      <c r="G64" s="1360"/>
      <c r="H64" s="1360"/>
      <c r="I64" s="1360"/>
      <c r="J64" s="1360"/>
      <c r="K64" s="1360"/>
      <c r="L64" s="1360"/>
      <c r="M64" s="1360"/>
      <c r="N64" s="1360"/>
      <c r="T64" s="32"/>
      <c r="U64" s="32"/>
      <c r="V64" s="32"/>
      <c r="W64" s="223"/>
    </row>
    <row r="65" spans="1:23" ht="12.75" hidden="1" customHeight="1" x14ac:dyDescent="0.2">
      <c r="A65" s="1360"/>
      <c r="B65" s="1360"/>
      <c r="C65" s="1360"/>
      <c r="D65" s="1360"/>
      <c r="E65" s="1360"/>
      <c r="F65" s="1360"/>
      <c r="G65" s="1360"/>
      <c r="H65" s="1360"/>
      <c r="I65" s="1360"/>
      <c r="J65" s="1360"/>
      <c r="K65" s="1360"/>
      <c r="L65" s="1360"/>
      <c r="M65" s="1360"/>
      <c r="N65" s="1360"/>
      <c r="T65" s="32"/>
      <c r="U65" s="32"/>
      <c r="V65" s="32"/>
      <c r="W65" s="223"/>
    </row>
    <row r="66" spans="1:23" ht="12.75" hidden="1" customHeight="1" x14ac:dyDescent="0.2">
      <c r="A66" s="1360"/>
      <c r="B66" s="1360"/>
      <c r="C66" s="1360"/>
      <c r="D66" s="1360"/>
      <c r="E66" s="1360"/>
      <c r="F66" s="1360"/>
      <c r="G66" s="1360"/>
      <c r="H66" s="1360"/>
      <c r="I66" s="1360"/>
      <c r="J66" s="1360"/>
      <c r="K66" s="1360"/>
      <c r="L66" s="1360"/>
      <c r="M66" s="1360"/>
      <c r="N66" s="1360"/>
      <c r="T66" s="32"/>
      <c r="U66" s="32"/>
      <c r="V66" s="32"/>
      <c r="W66" s="223"/>
    </row>
    <row r="67" spans="1:23" ht="12.75" hidden="1" customHeight="1" x14ac:dyDescent="0.2">
      <c r="A67" s="1360"/>
      <c r="B67" s="1360"/>
      <c r="C67" s="1360"/>
      <c r="D67" s="1360"/>
      <c r="E67" s="1360"/>
      <c r="F67" s="1360"/>
      <c r="G67" s="1360"/>
      <c r="H67" s="1360"/>
      <c r="I67" s="1360"/>
      <c r="J67" s="1360"/>
      <c r="K67" s="1360"/>
      <c r="L67" s="1360"/>
      <c r="M67" s="1360"/>
      <c r="N67" s="1360"/>
      <c r="T67" s="32"/>
      <c r="U67" s="32"/>
      <c r="V67" s="32"/>
      <c r="W67" s="223"/>
    </row>
    <row r="68" spans="1:23" ht="12.75" hidden="1" customHeight="1" x14ac:dyDescent="0.2">
      <c r="A68" s="1360"/>
      <c r="B68" s="1360"/>
      <c r="C68" s="1360"/>
      <c r="D68" s="1360"/>
      <c r="E68" s="1360"/>
      <c r="F68" s="1360"/>
      <c r="G68" s="1360"/>
      <c r="H68" s="1360"/>
      <c r="I68" s="1360"/>
      <c r="J68" s="1360"/>
      <c r="K68" s="1360"/>
      <c r="L68" s="1360"/>
      <c r="M68" s="1360"/>
      <c r="N68" s="1360"/>
      <c r="T68" s="32"/>
      <c r="U68" s="32"/>
      <c r="V68" s="32"/>
      <c r="W68" s="223"/>
    </row>
    <row r="69" spans="1:23" ht="12.75" hidden="1" customHeight="1" x14ac:dyDescent="0.2">
      <c r="A69" s="1360"/>
      <c r="B69" s="1360"/>
      <c r="C69" s="1360"/>
      <c r="D69" s="1360"/>
      <c r="E69" s="1360"/>
      <c r="F69" s="1360"/>
      <c r="G69" s="1360"/>
      <c r="H69" s="1360"/>
      <c r="I69" s="1360"/>
      <c r="J69" s="1360"/>
      <c r="K69" s="1360"/>
      <c r="L69" s="1360"/>
      <c r="M69" s="1360"/>
      <c r="N69" s="1360"/>
      <c r="T69" s="32"/>
      <c r="U69" s="32"/>
      <c r="V69" s="32"/>
      <c r="W69" s="223"/>
    </row>
    <row r="70" spans="1:23" ht="12.75" hidden="1" customHeight="1" x14ac:dyDescent="0.2">
      <c r="A70" s="1360"/>
      <c r="B70" s="1360"/>
      <c r="C70" s="1360"/>
      <c r="D70" s="1360"/>
      <c r="E70" s="1360"/>
      <c r="F70" s="1360"/>
      <c r="G70" s="1360"/>
      <c r="H70" s="1360"/>
      <c r="I70" s="1360"/>
      <c r="J70" s="1360"/>
      <c r="K70" s="1360"/>
      <c r="L70" s="1360"/>
      <c r="M70" s="1360"/>
      <c r="N70" s="1360"/>
      <c r="T70" s="32"/>
      <c r="U70" s="32"/>
      <c r="V70" s="32"/>
      <c r="W70" s="223"/>
    </row>
    <row r="71" spans="1:23" ht="12.75" hidden="1" customHeight="1" x14ac:dyDescent="0.2">
      <c r="A71" s="1360"/>
      <c r="B71" s="1360"/>
      <c r="C71" s="1360"/>
      <c r="D71" s="1360"/>
      <c r="E71" s="1360"/>
      <c r="F71" s="1360"/>
      <c r="G71" s="1360"/>
      <c r="H71" s="1360"/>
      <c r="I71" s="1360"/>
      <c r="J71" s="1360"/>
      <c r="K71" s="1360"/>
      <c r="L71" s="1360"/>
      <c r="M71" s="1360"/>
      <c r="N71" s="1360"/>
      <c r="T71" s="32"/>
      <c r="U71" s="32"/>
      <c r="V71" s="32"/>
      <c r="W71" s="223"/>
    </row>
    <row r="72" spans="1:23" ht="12.75" hidden="1" customHeight="1" x14ac:dyDescent="0.2">
      <c r="A72" s="1360"/>
      <c r="B72" s="1360"/>
      <c r="C72" s="1360"/>
      <c r="D72" s="1360"/>
      <c r="E72" s="1360"/>
      <c r="F72" s="1360"/>
      <c r="G72" s="1360"/>
      <c r="H72" s="1360"/>
      <c r="I72" s="1360"/>
      <c r="J72" s="1360"/>
      <c r="K72" s="1360"/>
      <c r="L72" s="1360"/>
      <c r="M72" s="1360"/>
      <c r="N72" s="1360"/>
      <c r="T72" s="32"/>
      <c r="U72" s="32"/>
      <c r="V72" s="32"/>
      <c r="W72" s="223"/>
    </row>
    <row r="73" spans="1:23" ht="12.75" hidden="1" customHeight="1" x14ac:dyDescent="0.2">
      <c r="A73" s="1360"/>
      <c r="B73" s="1360"/>
      <c r="C73" s="1360"/>
      <c r="D73" s="1360"/>
      <c r="E73" s="1360"/>
      <c r="F73" s="1360"/>
      <c r="G73" s="1360"/>
      <c r="H73" s="1360"/>
      <c r="I73" s="1360"/>
      <c r="J73" s="1360"/>
      <c r="K73" s="1360"/>
      <c r="L73" s="1360"/>
      <c r="M73" s="1360"/>
      <c r="N73" s="1360"/>
      <c r="T73" s="32"/>
      <c r="U73" s="32"/>
      <c r="V73" s="32"/>
      <c r="W73" s="223"/>
    </row>
    <row r="74" spans="1:23" ht="12.75" hidden="1" customHeight="1" x14ac:dyDescent="0.2">
      <c r="A74" s="1360"/>
      <c r="B74" s="1360"/>
      <c r="C74" s="1360"/>
      <c r="D74" s="1360"/>
      <c r="E74" s="1360"/>
      <c r="F74" s="1360"/>
      <c r="G74" s="1360"/>
      <c r="H74" s="1360"/>
      <c r="I74" s="1360"/>
      <c r="J74" s="1360"/>
      <c r="K74" s="1360"/>
      <c r="L74" s="1360"/>
      <c r="M74" s="1360"/>
      <c r="N74" s="1360"/>
      <c r="T74" s="32"/>
      <c r="U74" s="32"/>
      <c r="V74" s="32"/>
      <c r="W74" s="223"/>
    </row>
    <row r="75" spans="1:23" ht="12.75" hidden="1" customHeight="1" x14ac:dyDescent="0.2">
      <c r="A75" s="1360"/>
      <c r="B75" s="1360"/>
      <c r="C75" s="1360"/>
      <c r="D75" s="1360"/>
      <c r="E75" s="1360"/>
      <c r="F75" s="1360"/>
      <c r="G75" s="1360"/>
      <c r="H75" s="1360"/>
      <c r="I75" s="1360"/>
      <c r="J75" s="1360"/>
      <c r="K75" s="1360"/>
      <c r="L75" s="1360"/>
      <c r="M75" s="1360"/>
      <c r="N75" s="1360"/>
      <c r="T75" s="32"/>
      <c r="U75" s="32"/>
      <c r="V75" s="32"/>
      <c r="W75" s="223"/>
    </row>
    <row r="76" spans="1:23" ht="12.75" hidden="1" customHeight="1" x14ac:dyDescent="0.2">
      <c r="A76" s="1360"/>
      <c r="B76" s="1360"/>
      <c r="C76" s="1360"/>
      <c r="D76" s="1360"/>
      <c r="E76" s="1360"/>
      <c r="F76" s="1360"/>
      <c r="G76" s="1360"/>
      <c r="H76" s="1360"/>
      <c r="I76" s="1360"/>
      <c r="J76" s="1360"/>
      <c r="K76" s="1360"/>
      <c r="L76" s="1360"/>
      <c r="M76" s="1360"/>
      <c r="N76" s="1360"/>
      <c r="T76" s="32"/>
      <c r="U76" s="32"/>
      <c r="V76" s="32"/>
      <c r="W76" s="223"/>
    </row>
    <row r="77" spans="1:23" ht="12.75" hidden="1" customHeight="1" x14ac:dyDescent="0.2">
      <c r="A77" s="1360"/>
      <c r="B77" s="1360"/>
      <c r="C77" s="1360"/>
      <c r="D77" s="1360"/>
      <c r="E77" s="1360"/>
      <c r="F77" s="1360"/>
      <c r="G77" s="1360"/>
      <c r="H77" s="1360"/>
      <c r="I77" s="1360"/>
      <c r="J77" s="1360"/>
      <c r="K77" s="1360"/>
      <c r="L77" s="1360"/>
      <c r="M77" s="1360"/>
      <c r="N77" s="1360"/>
      <c r="T77" s="32"/>
      <c r="U77" s="32"/>
      <c r="V77" s="32"/>
      <c r="W77" s="223"/>
    </row>
    <row r="78" spans="1:23" ht="12.75" hidden="1" customHeight="1" x14ac:dyDescent="0.2">
      <c r="A78" s="1360"/>
      <c r="B78" s="1360"/>
      <c r="C78" s="1360"/>
      <c r="D78" s="1360"/>
      <c r="E78" s="1360"/>
      <c r="F78" s="1360"/>
      <c r="G78" s="1360"/>
      <c r="H78" s="1360"/>
      <c r="I78" s="1360"/>
      <c r="J78" s="1360"/>
      <c r="K78" s="1360"/>
      <c r="L78" s="1360"/>
      <c r="M78" s="1360"/>
      <c r="N78" s="1360"/>
      <c r="T78" s="32"/>
      <c r="U78" s="32"/>
      <c r="V78" s="32"/>
      <c r="W78" s="223"/>
    </row>
    <row r="79" spans="1:23" ht="12.75" hidden="1" customHeight="1" x14ac:dyDescent="0.2">
      <c r="A79" s="1360"/>
      <c r="B79" s="1360"/>
      <c r="C79" s="1360"/>
      <c r="D79" s="1360"/>
      <c r="E79" s="1360"/>
      <c r="F79" s="1360"/>
      <c r="G79" s="1360"/>
      <c r="H79" s="1360"/>
      <c r="I79" s="1360"/>
      <c r="J79" s="1360"/>
      <c r="K79" s="1360"/>
      <c r="L79" s="1360"/>
      <c r="M79" s="1360"/>
      <c r="N79" s="1360"/>
      <c r="T79" s="32"/>
      <c r="U79" s="32"/>
      <c r="V79" s="32"/>
      <c r="W79" s="223"/>
    </row>
    <row r="80" spans="1:23" ht="12.75" hidden="1" customHeight="1" x14ac:dyDescent="0.2">
      <c r="A80" s="1360"/>
      <c r="B80" s="1360"/>
      <c r="C80" s="1360"/>
      <c r="D80" s="1360"/>
      <c r="E80" s="1360"/>
      <c r="F80" s="1360"/>
      <c r="G80" s="1360"/>
      <c r="H80" s="1360"/>
      <c r="I80" s="1360"/>
      <c r="J80" s="1360"/>
      <c r="K80" s="1360"/>
      <c r="L80" s="1360"/>
      <c r="M80" s="1360"/>
      <c r="N80" s="1360"/>
      <c r="T80" s="32"/>
      <c r="U80" s="32"/>
      <c r="V80" s="32"/>
      <c r="W80" s="223"/>
    </row>
    <row r="81" spans="1:23" ht="12.75" hidden="1" customHeight="1" x14ac:dyDescent="0.2">
      <c r="A81" s="1360"/>
      <c r="B81" s="1360"/>
      <c r="C81" s="1360"/>
      <c r="D81" s="1360"/>
      <c r="E81" s="1360"/>
      <c r="F81" s="1360"/>
      <c r="G81" s="1360"/>
      <c r="H81" s="1360"/>
      <c r="I81" s="1360"/>
      <c r="J81" s="1360"/>
      <c r="K81" s="1360"/>
      <c r="L81" s="1360"/>
      <c r="M81" s="1360"/>
      <c r="N81" s="1360"/>
      <c r="T81" s="32"/>
      <c r="U81" s="32"/>
      <c r="V81" s="32"/>
      <c r="W81" s="223"/>
    </row>
    <row r="82" spans="1:23" ht="12.75" hidden="1" customHeight="1" x14ac:dyDescent="0.2">
      <c r="A82" s="1360"/>
      <c r="B82" s="1360"/>
      <c r="C82" s="1360"/>
      <c r="D82" s="1360"/>
      <c r="E82" s="1360"/>
      <c r="F82" s="1360"/>
      <c r="G82" s="1360"/>
      <c r="H82" s="1360"/>
      <c r="I82" s="1360"/>
      <c r="J82" s="1360"/>
      <c r="K82" s="1360"/>
      <c r="L82" s="1360"/>
      <c r="M82" s="1360"/>
      <c r="N82" s="1360"/>
      <c r="T82" s="32"/>
      <c r="U82" s="32"/>
      <c r="V82" s="32"/>
      <c r="W82" s="223"/>
    </row>
    <row r="83" spans="1:23" ht="12.75" hidden="1" customHeight="1" x14ac:dyDescent="0.2">
      <c r="A83" s="1360"/>
      <c r="B83" s="1360"/>
      <c r="C83" s="1360"/>
      <c r="D83" s="1360"/>
      <c r="E83" s="1360"/>
      <c r="F83" s="1360"/>
      <c r="G83" s="1360"/>
      <c r="H83" s="1360"/>
      <c r="I83" s="1360"/>
      <c r="J83" s="1360"/>
      <c r="K83" s="1360"/>
      <c r="L83" s="1360"/>
      <c r="M83" s="1360"/>
      <c r="N83" s="1360"/>
      <c r="T83" s="32"/>
      <c r="U83" s="32"/>
      <c r="V83" s="32"/>
      <c r="W83" s="223"/>
    </row>
    <row r="84" spans="1:23" ht="12.75" hidden="1" customHeight="1" x14ac:dyDescent="0.2">
      <c r="A84" s="1360"/>
      <c r="B84" s="1360"/>
      <c r="C84" s="1360"/>
      <c r="D84" s="1360"/>
      <c r="E84" s="1360"/>
      <c r="F84" s="1360"/>
      <c r="G84" s="1360"/>
      <c r="H84" s="1360"/>
      <c r="I84" s="1360"/>
      <c r="J84" s="1360"/>
      <c r="K84" s="1360"/>
      <c r="L84" s="1360"/>
      <c r="M84" s="1360"/>
      <c r="N84" s="1360"/>
      <c r="T84" s="32"/>
      <c r="U84" s="32"/>
      <c r="V84" s="32"/>
      <c r="W84" s="223"/>
    </row>
    <row r="85" spans="1:23" ht="12.75" hidden="1" customHeight="1" x14ac:dyDescent="0.2">
      <c r="A85" s="1360"/>
      <c r="B85" s="1360"/>
      <c r="C85" s="1360"/>
      <c r="D85" s="1360"/>
      <c r="E85" s="1360"/>
      <c r="F85" s="1360"/>
      <c r="G85" s="1360"/>
      <c r="H85" s="1360"/>
      <c r="I85" s="1360"/>
      <c r="J85" s="1360"/>
      <c r="K85" s="1360"/>
      <c r="L85" s="1360"/>
      <c r="M85" s="1360"/>
      <c r="N85" s="1360"/>
      <c r="T85" s="32"/>
      <c r="U85" s="32"/>
      <c r="V85" s="32"/>
      <c r="W85" s="223"/>
    </row>
    <row r="86" spans="1:23" ht="12.75" hidden="1" customHeight="1" x14ac:dyDescent="0.2">
      <c r="A86" s="1360"/>
      <c r="B86" s="1360"/>
      <c r="C86" s="1360"/>
      <c r="D86" s="1360"/>
      <c r="E86" s="1360"/>
      <c r="F86" s="1360"/>
      <c r="G86" s="1360"/>
      <c r="H86" s="1360"/>
      <c r="I86" s="1360"/>
      <c r="J86" s="1360"/>
      <c r="K86" s="1360"/>
      <c r="L86" s="1360"/>
      <c r="M86" s="1360"/>
      <c r="N86" s="1360"/>
      <c r="T86" s="32"/>
      <c r="U86" s="32"/>
      <c r="V86" s="32"/>
      <c r="W86" s="223"/>
    </row>
    <row r="87" spans="1:23" ht="12.75" hidden="1" customHeight="1" x14ac:dyDescent="0.2">
      <c r="A87" s="1360"/>
      <c r="B87" s="1360"/>
      <c r="C87" s="1360"/>
      <c r="D87" s="1360"/>
      <c r="E87" s="1360"/>
      <c r="F87" s="1360"/>
      <c r="G87" s="1360"/>
      <c r="H87" s="1360"/>
      <c r="I87" s="1360"/>
      <c r="J87" s="1360"/>
      <c r="K87" s="1360"/>
      <c r="L87" s="1360"/>
      <c r="M87" s="1360"/>
      <c r="N87" s="1360"/>
      <c r="T87" s="32"/>
      <c r="U87" s="32"/>
      <c r="V87" s="32"/>
      <c r="W87" s="223"/>
    </row>
    <row r="88" spans="1:23" ht="12.75" hidden="1" customHeight="1" x14ac:dyDescent="0.2">
      <c r="A88" s="1360"/>
      <c r="B88" s="1360"/>
      <c r="C88" s="1360"/>
      <c r="D88" s="1360"/>
      <c r="E88" s="1360"/>
      <c r="F88" s="1360"/>
      <c r="G88" s="1360"/>
      <c r="H88" s="1360"/>
      <c r="I88" s="1360"/>
      <c r="J88" s="1360"/>
      <c r="K88" s="1360"/>
      <c r="L88" s="1360"/>
      <c r="M88" s="1360"/>
      <c r="N88" s="1360"/>
      <c r="T88" s="32"/>
      <c r="U88" s="32"/>
      <c r="V88" s="32"/>
      <c r="W88" s="223"/>
    </row>
    <row r="89" spans="1:23" ht="12.75" hidden="1" customHeight="1" x14ac:dyDescent="0.2">
      <c r="A89" s="1360"/>
      <c r="B89" s="1360"/>
      <c r="C89" s="1360"/>
      <c r="D89" s="1360"/>
      <c r="E89" s="1360"/>
      <c r="F89" s="1360"/>
      <c r="G89" s="1360"/>
      <c r="H89" s="1360"/>
      <c r="I89" s="1360"/>
      <c r="J89" s="1360"/>
      <c r="K89" s="1360"/>
      <c r="L89" s="1360"/>
      <c r="M89" s="1360"/>
      <c r="N89" s="1360"/>
      <c r="T89" s="32"/>
      <c r="U89" s="32"/>
      <c r="V89" s="32"/>
      <c r="W89" s="223"/>
    </row>
    <row r="90" spans="1:23" ht="12.75" hidden="1" customHeight="1" x14ac:dyDescent="0.2">
      <c r="A90" s="1360"/>
      <c r="B90" s="1360"/>
      <c r="C90" s="1360"/>
      <c r="D90" s="1360"/>
      <c r="E90" s="1360"/>
      <c r="F90" s="1360"/>
      <c r="G90" s="1360"/>
      <c r="H90" s="1360"/>
      <c r="I90" s="1360"/>
      <c r="J90" s="1360"/>
      <c r="K90" s="1360"/>
      <c r="L90" s="1360"/>
      <c r="M90" s="1360"/>
      <c r="N90" s="1360"/>
      <c r="T90" s="32"/>
      <c r="U90" s="32"/>
      <c r="V90" s="32"/>
      <c r="W90" s="223"/>
    </row>
    <row r="91" spans="1:23" ht="12.75" hidden="1" customHeight="1" x14ac:dyDescent="0.2">
      <c r="A91" s="1360"/>
      <c r="B91" s="1360"/>
      <c r="C91" s="1360"/>
      <c r="D91" s="1360"/>
      <c r="E91" s="1360"/>
      <c r="F91" s="1360"/>
      <c r="G91" s="1360"/>
      <c r="H91" s="1360"/>
      <c r="I91" s="1360"/>
      <c r="J91" s="1360"/>
      <c r="K91" s="1360"/>
      <c r="L91" s="1360"/>
      <c r="M91" s="1360"/>
      <c r="N91" s="1360"/>
      <c r="T91" s="32"/>
      <c r="U91" s="32"/>
      <c r="V91" s="32"/>
      <c r="W91" s="223"/>
    </row>
    <row r="92" spans="1:23" ht="12.75" hidden="1" customHeight="1" x14ac:dyDescent="0.2">
      <c r="A92" s="1360"/>
      <c r="B92" s="1360"/>
      <c r="C92" s="1360"/>
      <c r="D92" s="1360"/>
      <c r="E92" s="1360"/>
      <c r="F92" s="1360"/>
      <c r="G92" s="1360"/>
      <c r="H92" s="1360"/>
      <c r="I92" s="1360"/>
      <c r="J92" s="1360"/>
      <c r="K92" s="1360"/>
      <c r="L92" s="1360"/>
      <c r="M92" s="1360"/>
      <c r="N92" s="1360"/>
      <c r="T92" s="32"/>
      <c r="U92" s="32"/>
      <c r="V92" s="32"/>
      <c r="W92" s="223"/>
    </row>
    <row r="93" spans="1:23" ht="12.75" hidden="1" customHeight="1" x14ac:dyDescent="0.2">
      <c r="A93" s="1360"/>
      <c r="B93" s="1360"/>
      <c r="C93" s="1360"/>
      <c r="D93" s="1360"/>
      <c r="E93" s="1360"/>
      <c r="F93" s="1360"/>
      <c r="G93" s="1360"/>
      <c r="H93" s="1360"/>
      <c r="I93" s="1360"/>
      <c r="J93" s="1360"/>
      <c r="K93" s="1360"/>
      <c r="L93" s="1360"/>
      <c r="M93" s="1360"/>
      <c r="N93" s="1360"/>
      <c r="T93" s="32"/>
      <c r="U93" s="32"/>
      <c r="V93" s="32"/>
      <c r="W93" s="223"/>
    </row>
    <row r="94" spans="1:23" ht="12.75" hidden="1" customHeight="1" x14ac:dyDescent="0.2">
      <c r="A94" s="1360"/>
      <c r="B94" s="1360"/>
      <c r="C94" s="1360"/>
      <c r="D94" s="1360"/>
      <c r="E94" s="1360"/>
      <c r="F94" s="1360"/>
      <c r="G94" s="1360"/>
      <c r="H94" s="1360"/>
      <c r="I94" s="1360"/>
      <c r="J94" s="1360"/>
      <c r="K94" s="1360"/>
      <c r="L94" s="1360"/>
      <c r="M94" s="1360"/>
      <c r="N94" s="1360"/>
      <c r="T94" s="32"/>
      <c r="U94" s="32"/>
      <c r="V94" s="32"/>
      <c r="W94" s="223"/>
    </row>
    <row r="95" spans="1:23" ht="12.75" hidden="1" customHeight="1" x14ac:dyDescent="0.2">
      <c r="A95" s="1360"/>
      <c r="B95" s="1360"/>
      <c r="C95" s="1360"/>
      <c r="D95" s="1360"/>
      <c r="E95" s="1360"/>
      <c r="F95" s="1360"/>
      <c r="G95" s="1360"/>
      <c r="H95" s="1360"/>
      <c r="I95" s="1360"/>
      <c r="J95" s="1360"/>
      <c r="K95" s="1360"/>
      <c r="L95" s="1360"/>
      <c r="M95" s="1360"/>
      <c r="N95" s="1360"/>
      <c r="T95" s="32"/>
      <c r="U95" s="32"/>
      <c r="V95" s="32"/>
      <c r="W95" s="223"/>
    </row>
    <row r="96" spans="1:23" ht="12.75" hidden="1" customHeight="1" x14ac:dyDescent="0.2">
      <c r="A96" s="1360"/>
      <c r="B96" s="1360"/>
      <c r="C96" s="1360"/>
      <c r="D96" s="1360"/>
      <c r="E96" s="1360"/>
      <c r="F96" s="1360"/>
      <c r="G96" s="1360"/>
      <c r="H96" s="1360"/>
      <c r="I96" s="1360"/>
      <c r="J96" s="1360"/>
      <c r="K96" s="1360"/>
      <c r="L96" s="1360"/>
      <c r="M96" s="1360"/>
      <c r="N96" s="1360"/>
      <c r="T96" s="32"/>
      <c r="U96" s="32"/>
      <c r="V96" s="32"/>
      <c r="W96" s="223"/>
    </row>
    <row r="97" spans="1:23" ht="12.75" hidden="1" customHeight="1" x14ac:dyDescent="0.2">
      <c r="A97" s="1360"/>
      <c r="B97" s="1360"/>
      <c r="C97" s="1360"/>
      <c r="D97" s="1360"/>
      <c r="E97" s="1360"/>
      <c r="F97" s="1360"/>
      <c r="G97" s="1360"/>
      <c r="H97" s="1360"/>
      <c r="I97" s="1360"/>
      <c r="J97" s="1360"/>
      <c r="K97" s="1360"/>
      <c r="L97" s="1360"/>
      <c r="M97" s="1360"/>
      <c r="N97" s="1360"/>
      <c r="T97" s="32"/>
      <c r="U97" s="32"/>
      <c r="V97" s="32"/>
      <c r="W97" s="223"/>
    </row>
    <row r="98" spans="1:23" ht="12.75" hidden="1" customHeight="1" x14ac:dyDescent="0.2">
      <c r="A98" s="1360"/>
      <c r="B98" s="1360"/>
      <c r="C98" s="1360"/>
      <c r="D98" s="1360"/>
      <c r="E98" s="1360"/>
      <c r="F98" s="1360"/>
      <c r="G98" s="1360"/>
      <c r="H98" s="1360"/>
      <c r="I98" s="1360"/>
      <c r="J98" s="1360"/>
      <c r="K98" s="1360"/>
      <c r="L98" s="1360"/>
      <c r="M98" s="1360"/>
      <c r="N98" s="1360"/>
      <c r="T98" s="32"/>
      <c r="U98" s="32"/>
      <c r="V98" s="32"/>
      <c r="W98" s="223"/>
    </row>
    <row r="99" spans="1:23" ht="12.75" hidden="1" customHeight="1" x14ac:dyDescent="0.2">
      <c r="A99" s="1360"/>
      <c r="B99" s="1360"/>
      <c r="C99" s="1360"/>
      <c r="D99" s="1360"/>
      <c r="E99" s="1360"/>
      <c r="F99" s="1360"/>
      <c r="G99" s="1360"/>
      <c r="H99" s="1360"/>
      <c r="I99" s="1360"/>
      <c r="J99" s="1360"/>
      <c r="K99" s="1360"/>
      <c r="L99" s="1360"/>
      <c r="M99" s="1360"/>
      <c r="N99" s="1360"/>
      <c r="T99" s="32"/>
      <c r="U99" s="32"/>
      <c r="V99" s="32"/>
      <c r="W99" s="223"/>
    </row>
    <row r="100" spans="1:23" ht="12.75" hidden="1" customHeight="1" x14ac:dyDescent="0.2">
      <c r="A100" s="1360"/>
      <c r="B100" s="1360"/>
      <c r="C100" s="1360"/>
      <c r="D100" s="1360"/>
      <c r="E100" s="1360"/>
      <c r="F100" s="1360"/>
      <c r="G100" s="1360"/>
      <c r="H100" s="1360"/>
      <c r="I100" s="1360"/>
      <c r="J100" s="1360"/>
      <c r="K100" s="1360"/>
      <c r="L100" s="1360"/>
      <c r="M100" s="1360"/>
      <c r="N100" s="1360"/>
      <c r="T100" s="32"/>
      <c r="U100" s="32"/>
      <c r="V100" s="32"/>
      <c r="W100" s="223"/>
    </row>
    <row r="101" spans="1:23" ht="12.75" hidden="1" customHeight="1" x14ac:dyDescent="0.2">
      <c r="A101" s="1360"/>
      <c r="B101" s="1360"/>
      <c r="C101" s="1360"/>
      <c r="D101" s="1360"/>
      <c r="E101" s="1360"/>
      <c r="F101" s="1360"/>
      <c r="G101" s="1360"/>
      <c r="H101" s="1360"/>
      <c r="I101" s="1360"/>
      <c r="J101" s="1360"/>
      <c r="K101" s="1360"/>
      <c r="L101" s="1360"/>
      <c r="M101" s="1360"/>
      <c r="N101" s="1360"/>
      <c r="T101" s="32"/>
      <c r="U101" s="32"/>
      <c r="V101" s="32"/>
      <c r="W101" s="223"/>
    </row>
    <row r="102" spans="1:23" ht="12.75" hidden="1" customHeight="1" x14ac:dyDescent="0.2">
      <c r="A102" s="1360"/>
      <c r="B102" s="1360"/>
      <c r="C102" s="1360"/>
      <c r="D102" s="1360"/>
      <c r="E102" s="1360"/>
      <c r="F102" s="1360"/>
      <c r="G102" s="1360"/>
      <c r="H102" s="1360"/>
      <c r="I102" s="1360"/>
      <c r="J102" s="1360"/>
      <c r="K102" s="1360"/>
      <c r="L102" s="1360"/>
      <c r="M102" s="1360"/>
      <c r="N102" s="1360"/>
      <c r="T102" s="32"/>
      <c r="U102" s="32"/>
      <c r="V102" s="32"/>
      <c r="W102" s="223"/>
    </row>
    <row r="103" spans="1:23" ht="12.75" hidden="1" customHeight="1" x14ac:dyDescent="0.2">
      <c r="A103" s="1360"/>
      <c r="B103" s="1360"/>
      <c r="C103" s="1360"/>
      <c r="D103" s="1360"/>
      <c r="E103" s="1360"/>
      <c r="F103" s="1360"/>
      <c r="G103" s="1360"/>
      <c r="H103" s="1360"/>
      <c r="I103" s="1360"/>
      <c r="J103" s="1360"/>
      <c r="K103" s="1360"/>
      <c r="L103" s="1360"/>
      <c r="M103" s="1360"/>
      <c r="N103" s="1360"/>
      <c r="T103" s="32"/>
      <c r="U103" s="32"/>
      <c r="V103" s="32"/>
      <c r="W103" s="223"/>
    </row>
    <row r="104" spans="1:23" ht="12.75" hidden="1" customHeight="1" x14ac:dyDescent="0.2">
      <c r="A104" s="1360"/>
      <c r="B104" s="1360"/>
      <c r="C104" s="1360"/>
      <c r="D104" s="1360"/>
      <c r="E104" s="1360"/>
      <c r="F104" s="1360"/>
      <c r="G104" s="1360"/>
      <c r="H104" s="1360"/>
      <c r="I104" s="1360"/>
      <c r="J104" s="1360"/>
      <c r="K104" s="1360"/>
      <c r="L104" s="1360"/>
      <c r="M104" s="1360"/>
      <c r="N104" s="1360"/>
      <c r="T104" s="32"/>
      <c r="U104" s="32"/>
      <c r="V104" s="32"/>
      <c r="W104" s="223"/>
    </row>
    <row r="105" spans="1:23" ht="12.75" hidden="1" customHeight="1" x14ac:dyDescent="0.2">
      <c r="A105" s="1360"/>
      <c r="B105" s="1360"/>
      <c r="C105" s="1360"/>
      <c r="D105" s="1360"/>
      <c r="E105" s="1360"/>
      <c r="F105" s="1360"/>
      <c r="G105" s="1360"/>
      <c r="H105" s="1360"/>
      <c r="I105" s="1360"/>
      <c r="J105" s="1360"/>
      <c r="K105" s="1360"/>
      <c r="L105" s="1360"/>
      <c r="M105" s="1360"/>
      <c r="N105" s="1360"/>
      <c r="T105" s="32"/>
      <c r="U105" s="32"/>
      <c r="V105" s="32"/>
      <c r="W105" s="223"/>
    </row>
    <row r="106" spans="1:23" ht="12.75" hidden="1" customHeight="1" x14ac:dyDescent="0.2">
      <c r="A106" s="1360"/>
      <c r="B106" s="1360"/>
      <c r="C106" s="1360"/>
      <c r="D106" s="1360"/>
      <c r="E106" s="1360"/>
      <c r="F106" s="1360"/>
      <c r="G106" s="1360"/>
      <c r="H106" s="1360"/>
      <c r="I106" s="1360"/>
      <c r="J106" s="1360"/>
      <c r="K106" s="1360"/>
      <c r="L106" s="1360"/>
      <c r="M106" s="1360"/>
      <c r="N106" s="1360"/>
      <c r="T106" s="32"/>
      <c r="U106" s="32"/>
      <c r="V106" s="32"/>
      <c r="W106" s="223"/>
    </row>
    <row r="107" spans="1:23" ht="12.75" hidden="1" customHeight="1" x14ac:dyDescent="0.2">
      <c r="A107" s="1360"/>
      <c r="B107" s="1360"/>
      <c r="C107" s="1360"/>
      <c r="D107" s="1360"/>
      <c r="E107" s="1360"/>
      <c r="F107" s="1360"/>
      <c r="G107" s="1360"/>
      <c r="H107" s="1360"/>
      <c r="I107" s="1360"/>
      <c r="J107" s="1360"/>
      <c r="K107" s="1360"/>
      <c r="L107" s="1360"/>
      <c r="M107" s="1360"/>
      <c r="N107" s="1360"/>
      <c r="T107" s="32"/>
      <c r="U107" s="32"/>
      <c r="V107" s="32"/>
      <c r="W107" s="223"/>
    </row>
    <row r="108" spans="1:23" ht="12.75" hidden="1" customHeight="1" x14ac:dyDescent="0.2">
      <c r="A108" s="1360"/>
      <c r="B108" s="1360"/>
      <c r="C108" s="1360"/>
      <c r="D108" s="1360"/>
      <c r="E108" s="1360"/>
      <c r="F108" s="1360"/>
      <c r="G108" s="1360"/>
      <c r="H108" s="1360"/>
      <c r="I108" s="1360"/>
      <c r="J108" s="1360"/>
      <c r="K108" s="1360"/>
      <c r="L108" s="1360"/>
      <c r="M108" s="1360"/>
      <c r="N108" s="1360"/>
      <c r="T108" s="32"/>
      <c r="U108" s="32"/>
      <c r="V108" s="32"/>
      <c r="W108" s="223"/>
    </row>
    <row r="109" spans="1:23" ht="12.75" hidden="1" customHeight="1" x14ac:dyDescent="0.2">
      <c r="A109" s="1360"/>
      <c r="B109" s="1360"/>
      <c r="C109" s="1360"/>
      <c r="D109" s="1360"/>
      <c r="E109" s="1360"/>
      <c r="F109" s="1360"/>
      <c r="G109" s="1360"/>
      <c r="H109" s="1360"/>
      <c r="I109" s="1360"/>
      <c r="J109" s="1360"/>
      <c r="K109" s="1360"/>
      <c r="L109" s="1360"/>
      <c r="M109" s="1360"/>
      <c r="N109" s="1360"/>
      <c r="T109" s="32"/>
      <c r="U109" s="32"/>
      <c r="V109" s="32"/>
      <c r="W109" s="223"/>
    </row>
    <row r="110" spans="1:23" ht="12.75" hidden="1" customHeight="1" x14ac:dyDescent="0.2">
      <c r="A110" s="1360"/>
      <c r="B110" s="1360"/>
      <c r="C110" s="1360"/>
      <c r="D110" s="1360"/>
      <c r="E110" s="1360"/>
      <c r="F110" s="1360"/>
      <c r="G110" s="1360"/>
      <c r="H110" s="1360"/>
      <c r="I110" s="1360"/>
      <c r="J110" s="1360"/>
      <c r="K110" s="1360"/>
      <c r="L110" s="1360"/>
      <c r="M110" s="1360"/>
      <c r="N110" s="1360"/>
      <c r="T110" s="32"/>
      <c r="U110" s="32"/>
      <c r="V110" s="32"/>
      <c r="W110" s="223"/>
    </row>
    <row r="111" spans="1:23" ht="12.75" hidden="1" customHeight="1" x14ac:dyDescent="0.2">
      <c r="A111" s="1360"/>
      <c r="B111" s="1360"/>
      <c r="C111" s="1360"/>
      <c r="D111" s="1360"/>
      <c r="E111" s="1360"/>
      <c r="F111" s="1360"/>
      <c r="G111" s="1360"/>
      <c r="H111" s="1360"/>
      <c r="I111" s="1360"/>
      <c r="J111" s="1360"/>
      <c r="K111" s="1360"/>
      <c r="L111" s="1360"/>
      <c r="M111" s="1360"/>
      <c r="N111" s="1360"/>
      <c r="T111" s="32"/>
      <c r="U111" s="32"/>
      <c r="V111" s="32"/>
      <c r="W111" s="223"/>
    </row>
    <row r="112" spans="1:23" ht="12.75" hidden="1" customHeight="1" x14ac:dyDescent="0.2">
      <c r="A112" s="1360"/>
      <c r="B112" s="1360"/>
      <c r="C112" s="1360"/>
      <c r="D112" s="1360"/>
      <c r="E112" s="1360"/>
      <c r="F112" s="1360"/>
      <c r="G112" s="1360"/>
      <c r="H112" s="1360"/>
      <c r="I112" s="1360"/>
      <c r="J112" s="1360"/>
      <c r="K112" s="1360"/>
      <c r="L112" s="1360"/>
      <c r="M112" s="1360"/>
      <c r="N112" s="1360"/>
      <c r="T112" s="32"/>
      <c r="U112" s="32"/>
      <c r="V112" s="32"/>
      <c r="W112" s="223"/>
    </row>
    <row r="113" spans="1:23" ht="12.75" hidden="1" customHeight="1" x14ac:dyDescent="0.2">
      <c r="A113" s="1360"/>
      <c r="B113" s="1360"/>
      <c r="C113" s="1360"/>
      <c r="D113" s="1360"/>
      <c r="E113" s="1360"/>
      <c r="F113" s="1360"/>
      <c r="G113" s="1360"/>
      <c r="H113" s="1360"/>
      <c r="I113" s="1360"/>
      <c r="J113" s="1360"/>
      <c r="K113" s="1360"/>
      <c r="L113" s="1360"/>
      <c r="M113" s="1360"/>
      <c r="N113" s="1360"/>
      <c r="T113" s="32"/>
      <c r="U113" s="32"/>
      <c r="V113" s="32"/>
      <c r="W113" s="223"/>
    </row>
    <row r="114" spans="1:23" ht="12.75" hidden="1" customHeight="1" x14ac:dyDescent="0.2">
      <c r="A114" s="1360"/>
      <c r="B114" s="1360"/>
      <c r="C114" s="1360"/>
      <c r="D114" s="1360"/>
      <c r="E114" s="1360"/>
      <c r="F114" s="1360"/>
      <c r="G114" s="1360"/>
      <c r="H114" s="1360"/>
      <c r="I114" s="1360"/>
      <c r="J114" s="1360"/>
      <c r="K114" s="1360"/>
      <c r="L114" s="1360"/>
      <c r="M114" s="1360"/>
      <c r="N114" s="1360"/>
      <c r="T114" s="32"/>
      <c r="U114" s="32"/>
      <c r="V114" s="32"/>
      <c r="W114" s="223"/>
    </row>
    <row r="115" spans="1:23" ht="12.75" hidden="1" customHeight="1" x14ac:dyDescent="0.2">
      <c r="A115" s="1360"/>
      <c r="B115" s="1360"/>
      <c r="C115" s="1360"/>
      <c r="D115" s="1360"/>
      <c r="E115" s="1360"/>
      <c r="F115" s="1360"/>
      <c r="G115" s="1360"/>
      <c r="H115" s="1360"/>
      <c r="I115" s="1360"/>
      <c r="J115" s="1360"/>
      <c r="K115" s="1360"/>
      <c r="L115" s="1360"/>
      <c r="M115" s="1360"/>
      <c r="N115" s="1360"/>
      <c r="T115" s="32"/>
      <c r="U115" s="32"/>
      <c r="V115" s="32"/>
      <c r="W115" s="223"/>
    </row>
    <row r="116" spans="1:23" ht="12.75" hidden="1" customHeight="1" x14ac:dyDescent="0.2">
      <c r="A116" s="1360"/>
      <c r="B116" s="1360"/>
      <c r="C116" s="1360"/>
      <c r="D116" s="1360"/>
      <c r="E116" s="1360"/>
      <c r="F116" s="1360"/>
      <c r="G116" s="1360"/>
      <c r="H116" s="1360"/>
      <c r="I116" s="1360"/>
      <c r="J116" s="1360"/>
      <c r="K116" s="1360"/>
      <c r="L116" s="1360"/>
      <c r="M116" s="1360"/>
      <c r="N116" s="1360"/>
      <c r="T116" s="32"/>
      <c r="U116" s="32"/>
      <c r="V116" s="32"/>
      <c r="W116" s="223"/>
    </row>
    <row r="117" spans="1:23" ht="12.75" hidden="1" customHeight="1" x14ac:dyDescent="0.2">
      <c r="A117" s="1360"/>
      <c r="B117" s="1360"/>
      <c r="C117" s="1360"/>
      <c r="D117" s="1360"/>
      <c r="E117" s="1360"/>
      <c r="F117" s="1360"/>
      <c r="G117" s="1360"/>
      <c r="H117" s="1360"/>
      <c r="I117" s="1360"/>
      <c r="J117" s="1360"/>
      <c r="K117" s="1360"/>
      <c r="L117" s="1360"/>
      <c r="M117" s="1360"/>
      <c r="N117" s="1360"/>
      <c r="T117" s="32"/>
      <c r="U117" s="32"/>
      <c r="V117" s="32"/>
      <c r="W117" s="223"/>
    </row>
    <row r="118" spans="1:23" ht="12.75" hidden="1" customHeight="1" x14ac:dyDescent="0.2">
      <c r="A118" s="1360"/>
      <c r="B118" s="1360"/>
      <c r="C118" s="1360"/>
      <c r="D118" s="1360"/>
      <c r="E118" s="1360"/>
      <c r="F118" s="1360"/>
      <c r="G118" s="1360"/>
      <c r="H118" s="1360"/>
      <c r="I118" s="1360"/>
      <c r="J118" s="1360"/>
      <c r="K118" s="1360"/>
      <c r="L118" s="1360"/>
      <c r="M118" s="1360"/>
      <c r="N118" s="1360"/>
      <c r="T118" s="32"/>
      <c r="U118" s="32"/>
      <c r="V118" s="32"/>
      <c r="W118" s="223"/>
    </row>
    <row r="119" spans="1:23" ht="12.75" hidden="1" customHeight="1" x14ac:dyDescent="0.2">
      <c r="A119" s="1360"/>
      <c r="B119" s="1360"/>
      <c r="C119" s="1360"/>
      <c r="D119" s="1360"/>
      <c r="E119" s="1360"/>
      <c r="F119" s="1360"/>
      <c r="G119" s="1360"/>
      <c r="H119" s="1360"/>
      <c r="I119" s="1360"/>
      <c r="J119" s="1360"/>
      <c r="K119" s="1360"/>
      <c r="L119" s="1360"/>
      <c r="M119" s="1360"/>
      <c r="N119" s="1360"/>
      <c r="T119" s="32"/>
      <c r="U119" s="32"/>
      <c r="V119" s="32"/>
      <c r="W119" s="223"/>
    </row>
    <row r="120" spans="1:23" ht="12.75" hidden="1" customHeight="1" x14ac:dyDescent="0.2">
      <c r="A120" s="1360"/>
      <c r="B120" s="1360"/>
      <c r="C120" s="1360"/>
      <c r="D120" s="1360"/>
      <c r="E120" s="1360"/>
      <c r="F120" s="1360"/>
      <c r="G120" s="1360"/>
      <c r="H120" s="1360"/>
      <c r="I120" s="1360"/>
      <c r="J120" s="1360"/>
      <c r="K120" s="1360"/>
      <c r="L120" s="1360"/>
      <c r="M120" s="1360"/>
      <c r="N120" s="1360"/>
      <c r="T120" s="32"/>
      <c r="U120" s="32"/>
      <c r="V120" s="32"/>
      <c r="W120" s="223"/>
    </row>
    <row r="121" spans="1:23" ht="12.75" hidden="1" customHeight="1" x14ac:dyDescent="0.2">
      <c r="A121" s="1360"/>
      <c r="B121" s="1360"/>
      <c r="C121" s="1360"/>
      <c r="D121" s="1360"/>
      <c r="E121" s="1360"/>
      <c r="F121" s="1360"/>
      <c r="G121" s="1360"/>
      <c r="H121" s="1360"/>
      <c r="I121" s="1360"/>
      <c r="J121" s="1360"/>
      <c r="K121" s="1360"/>
      <c r="L121" s="1360"/>
      <c r="M121" s="1360"/>
      <c r="N121" s="1360"/>
      <c r="T121" s="32"/>
      <c r="U121" s="32"/>
      <c r="V121" s="32"/>
      <c r="W121" s="223"/>
    </row>
    <row r="122" spans="1:23" ht="12.75" hidden="1" customHeight="1" x14ac:dyDescent="0.2">
      <c r="A122" s="1360"/>
      <c r="B122" s="1360"/>
      <c r="C122" s="1360"/>
      <c r="D122" s="1360"/>
      <c r="E122" s="1360"/>
      <c r="F122" s="1360"/>
      <c r="G122" s="1360"/>
      <c r="H122" s="1360"/>
      <c r="I122" s="1360"/>
      <c r="J122" s="1360"/>
      <c r="K122" s="1360"/>
      <c r="L122" s="1360"/>
      <c r="M122" s="1360"/>
      <c r="N122" s="1360"/>
      <c r="T122" s="32"/>
      <c r="U122" s="32"/>
      <c r="V122" s="32"/>
      <c r="W122" s="223"/>
    </row>
    <row r="123" spans="1:23" ht="12.75" hidden="1" customHeight="1" x14ac:dyDescent="0.2">
      <c r="A123" s="1360"/>
      <c r="B123" s="1360"/>
      <c r="C123" s="1360"/>
      <c r="D123" s="1360"/>
      <c r="E123" s="1360"/>
      <c r="F123" s="1360"/>
      <c r="G123" s="1360"/>
      <c r="H123" s="1360"/>
      <c r="I123" s="1360"/>
      <c r="J123" s="1360"/>
      <c r="K123" s="1360"/>
      <c r="L123" s="1360"/>
      <c r="M123" s="1360"/>
      <c r="N123" s="1360"/>
      <c r="T123" s="32"/>
      <c r="U123" s="32"/>
      <c r="V123" s="32"/>
      <c r="W123" s="223"/>
    </row>
    <row r="124" spans="1:23" ht="12.75" hidden="1" customHeight="1" x14ac:dyDescent="0.2">
      <c r="A124" s="1360"/>
      <c r="B124" s="1360"/>
      <c r="C124" s="1360"/>
      <c r="D124" s="1360"/>
      <c r="E124" s="1360"/>
      <c r="F124" s="1360"/>
      <c r="G124" s="1360"/>
      <c r="H124" s="1360"/>
      <c r="I124" s="1360"/>
      <c r="J124" s="1360"/>
      <c r="K124" s="1360"/>
      <c r="L124" s="1360"/>
      <c r="M124" s="1360"/>
      <c r="N124" s="1360"/>
      <c r="T124" s="32"/>
      <c r="U124" s="32"/>
      <c r="V124" s="32"/>
      <c r="W124" s="223"/>
    </row>
    <row r="125" spans="1:23" ht="12.75" hidden="1" customHeight="1" x14ac:dyDescent="0.2">
      <c r="A125" s="1360"/>
      <c r="B125" s="1360"/>
      <c r="C125" s="1360"/>
      <c r="D125" s="1360"/>
      <c r="E125" s="1360"/>
      <c r="F125" s="1360"/>
      <c r="G125" s="1360"/>
      <c r="H125" s="1360"/>
      <c r="I125" s="1360"/>
      <c r="J125" s="1360"/>
      <c r="K125" s="1360"/>
      <c r="L125" s="1360"/>
      <c r="M125" s="1360"/>
      <c r="N125" s="1360"/>
      <c r="T125" s="32"/>
      <c r="U125" s="32"/>
      <c r="V125" s="32"/>
      <c r="W125" s="223"/>
    </row>
    <row r="126" spans="1:23" ht="12.75" hidden="1" customHeight="1" x14ac:dyDescent="0.2">
      <c r="A126" s="1360"/>
      <c r="B126" s="1360"/>
      <c r="C126" s="1360"/>
      <c r="D126" s="1360"/>
      <c r="E126" s="1360"/>
      <c r="F126" s="1360"/>
      <c r="G126" s="1360"/>
      <c r="H126" s="1360"/>
      <c r="I126" s="1360"/>
      <c r="J126" s="1360"/>
      <c r="K126" s="1360"/>
      <c r="L126" s="1360"/>
      <c r="M126" s="1360"/>
      <c r="N126" s="1360"/>
      <c r="T126" s="32"/>
      <c r="U126" s="32"/>
      <c r="V126" s="32"/>
      <c r="W126" s="223"/>
    </row>
    <row r="127" spans="1:23" ht="12.75" hidden="1" customHeight="1" x14ac:dyDescent="0.2">
      <c r="A127" s="1360"/>
      <c r="B127" s="1360"/>
      <c r="C127" s="1360"/>
      <c r="D127" s="1360"/>
      <c r="E127" s="1360"/>
      <c r="F127" s="1360"/>
      <c r="G127" s="1360"/>
      <c r="H127" s="1360"/>
      <c r="I127" s="1360"/>
      <c r="J127" s="1360"/>
      <c r="K127" s="1360"/>
      <c r="L127" s="1360"/>
      <c r="M127" s="1360"/>
      <c r="N127" s="1360"/>
      <c r="T127" s="32"/>
      <c r="U127" s="32"/>
      <c r="V127" s="32"/>
      <c r="W127" s="223"/>
    </row>
    <row r="128" spans="1:23" ht="12.75" hidden="1" customHeight="1" x14ac:dyDescent="0.2">
      <c r="A128" s="1360"/>
      <c r="B128" s="1360"/>
      <c r="C128" s="1360"/>
      <c r="D128" s="1360"/>
      <c r="E128" s="1360"/>
      <c r="F128" s="1360"/>
      <c r="G128" s="1360"/>
      <c r="H128" s="1360"/>
      <c r="I128" s="1360"/>
      <c r="J128" s="1360"/>
      <c r="K128" s="1360"/>
      <c r="L128" s="1360"/>
      <c r="M128" s="1360"/>
      <c r="N128" s="1360"/>
      <c r="T128" s="32"/>
      <c r="U128" s="32"/>
      <c r="V128" s="32"/>
      <c r="W128" s="223"/>
    </row>
    <row r="129" spans="1:23" ht="12.75" hidden="1" customHeight="1" x14ac:dyDescent="0.2">
      <c r="A129" s="1360"/>
      <c r="B129" s="1360"/>
      <c r="C129" s="1360"/>
      <c r="D129" s="1360"/>
      <c r="E129" s="1360"/>
      <c r="F129" s="1360"/>
      <c r="G129" s="1360"/>
      <c r="H129" s="1360"/>
      <c r="I129" s="1360"/>
      <c r="J129" s="1360"/>
      <c r="K129" s="1360"/>
      <c r="L129" s="1360"/>
      <c r="M129" s="1360"/>
      <c r="N129" s="1360"/>
      <c r="T129" s="32"/>
      <c r="U129" s="32"/>
      <c r="V129" s="32"/>
      <c r="W129" s="223"/>
    </row>
    <row r="130" spans="1:23" ht="12.75" hidden="1" customHeight="1" x14ac:dyDescent="0.2">
      <c r="A130" s="1360"/>
      <c r="B130" s="1360"/>
      <c r="C130" s="1360"/>
      <c r="D130" s="1360"/>
      <c r="E130" s="1360"/>
      <c r="F130" s="1360"/>
      <c r="G130" s="1360"/>
      <c r="H130" s="1360"/>
      <c r="I130" s="1360"/>
      <c r="J130" s="1360"/>
      <c r="K130" s="1360"/>
      <c r="L130" s="1360"/>
      <c r="M130" s="1360"/>
      <c r="N130" s="1360"/>
      <c r="T130" s="32"/>
      <c r="U130" s="32"/>
      <c r="V130" s="32"/>
      <c r="W130" s="223"/>
    </row>
    <row r="131" spans="1:23" ht="12.75" hidden="1" customHeight="1" x14ac:dyDescent="0.2">
      <c r="A131" s="1360"/>
      <c r="B131" s="1360"/>
      <c r="C131" s="1360"/>
      <c r="D131" s="1360"/>
      <c r="E131" s="1360"/>
      <c r="F131" s="1360"/>
      <c r="G131" s="1360"/>
      <c r="H131" s="1360"/>
      <c r="I131" s="1360"/>
      <c r="J131" s="1360"/>
      <c r="K131" s="1360"/>
      <c r="L131" s="1360"/>
      <c r="M131" s="1360"/>
      <c r="N131" s="1360"/>
      <c r="T131" s="32"/>
      <c r="U131" s="32"/>
      <c r="V131" s="32"/>
      <c r="W131" s="223"/>
    </row>
    <row r="132" spans="1:23" ht="12.75" hidden="1" customHeight="1" x14ac:dyDescent="0.2">
      <c r="A132" s="1360"/>
      <c r="B132" s="1360"/>
      <c r="C132" s="1360"/>
      <c r="D132" s="1360"/>
      <c r="E132" s="1360"/>
      <c r="F132" s="1360"/>
      <c r="G132" s="1360"/>
      <c r="H132" s="1360"/>
      <c r="I132" s="1360"/>
      <c r="J132" s="1360"/>
      <c r="K132" s="1360"/>
      <c r="L132" s="1360"/>
      <c r="M132" s="1360"/>
      <c r="N132" s="1360"/>
      <c r="T132" s="32"/>
      <c r="U132" s="32"/>
      <c r="V132" s="32"/>
      <c r="W132" s="223"/>
    </row>
    <row r="133" spans="1:23" ht="12.75" hidden="1" customHeight="1" x14ac:dyDescent="0.2">
      <c r="A133" s="1360"/>
      <c r="B133" s="1360"/>
      <c r="C133" s="1360"/>
      <c r="D133" s="1360"/>
      <c r="E133" s="1360"/>
      <c r="F133" s="1360"/>
      <c r="G133" s="1360"/>
      <c r="H133" s="1360"/>
      <c r="I133" s="1360"/>
      <c r="J133" s="1360"/>
      <c r="K133" s="1360"/>
      <c r="L133" s="1360"/>
      <c r="M133" s="1360"/>
      <c r="N133" s="1360"/>
      <c r="T133" s="32"/>
      <c r="U133" s="32"/>
      <c r="V133" s="32"/>
      <c r="W133" s="223"/>
    </row>
    <row r="134" spans="1:23" ht="12.75" hidden="1" customHeight="1" x14ac:dyDescent="0.2">
      <c r="A134" s="1360"/>
      <c r="B134" s="1360"/>
      <c r="C134" s="1360"/>
      <c r="D134" s="1360"/>
      <c r="E134" s="1360"/>
      <c r="F134" s="1360"/>
      <c r="G134" s="1360"/>
      <c r="H134" s="1360"/>
      <c r="I134" s="1360"/>
      <c r="J134" s="1360"/>
      <c r="K134" s="1360"/>
      <c r="L134" s="1360"/>
      <c r="M134" s="1360"/>
      <c r="N134" s="1360"/>
      <c r="T134" s="32"/>
      <c r="U134" s="32"/>
      <c r="V134" s="32"/>
      <c r="W134" s="223"/>
    </row>
    <row r="135" spans="1:23" ht="12.75" hidden="1" customHeight="1" x14ac:dyDescent="0.2">
      <c r="A135" s="1360"/>
      <c r="B135" s="1360"/>
      <c r="C135" s="1360"/>
      <c r="D135" s="1360"/>
      <c r="E135" s="1360"/>
      <c r="F135" s="1360"/>
      <c r="G135" s="1360"/>
      <c r="H135" s="1360"/>
      <c r="I135" s="1360"/>
      <c r="J135" s="1360"/>
      <c r="K135" s="1360"/>
      <c r="L135" s="1360"/>
      <c r="M135" s="1360"/>
      <c r="N135" s="1360"/>
      <c r="T135" s="32"/>
      <c r="U135" s="32"/>
      <c r="V135" s="32"/>
      <c r="W135" s="223"/>
    </row>
    <row r="136" spans="1:23" ht="12.75" hidden="1" customHeight="1" x14ac:dyDescent="0.2">
      <c r="A136" s="1360"/>
      <c r="B136" s="1360"/>
      <c r="C136" s="1360"/>
      <c r="D136" s="1360"/>
      <c r="E136" s="1360"/>
      <c r="F136" s="1360"/>
      <c r="G136" s="1360"/>
      <c r="H136" s="1360"/>
      <c r="I136" s="1360"/>
      <c r="J136" s="1360"/>
      <c r="K136" s="1360"/>
      <c r="L136" s="1360"/>
      <c r="M136" s="1360"/>
      <c r="N136" s="1360"/>
      <c r="T136" s="32"/>
      <c r="U136" s="32"/>
      <c r="V136" s="32"/>
      <c r="W136" s="616"/>
    </row>
    <row r="137" spans="1:23" ht="12.75" hidden="1" customHeight="1" x14ac:dyDescent="0.2">
      <c r="A137" s="1360"/>
      <c r="B137" s="1360"/>
      <c r="C137" s="1360"/>
      <c r="D137" s="1360"/>
      <c r="E137" s="1360"/>
      <c r="F137" s="1360"/>
      <c r="G137" s="1360"/>
      <c r="H137" s="1360"/>
      <c r="I137" s="1360"/>
      <c r="J137" s="1360"/>
      <c r="K137" s="1360"/>
      <c r="L137" s="1360"/>
      <c r="M137" s="1360"/>
      <c r="N137" s="1360"/>
      <c r="T137" s="32"/>
      <c r="U137" s="32"/>
      <c r="V137" s="32"/>
      <c r="W137" s="616"/>
    </row>
    <row r="138" spans="1:23" ht="12.75" hidden="1" customHeight="1" x14ac:dyDescent="0.2">
      <c r="A138" s="1360"/>
      <c r="B138" s="1360"/>
      <c r="C138" s="1360"/>
      <c r="D138" s="1360"/>
      <c r="E138" s="1360"/>
      <c r="F138" s="1360"/>
      <c r="G138" s="1360"/>
      <c r="H138" s="1360"/>
      <c r="I138" s="1360"/>
      <c r="J138" s="1360"/>
      <c r="K138" s="1360"/>
      <c r="L138" s="1360"/>
      <c r="M138" s="1360"/>
      <c r="N138" s="1360"/>
      <c r="T138" s="32"/>
      <c r="U138" s="32"/>
      <c r="V138" s="32"/>
      <c r="W138" s="616"/>
    </row>
    <row r="139" spans="1:23" ht="12.75" hidden="1" customHeight="1" x14ac:dyDescent="0.2">
      <c r="A139" s="1360"/>
      <c r="B139" s="1360"/>
      <c r="C139" s="1360"/>
      <c r="D139" s="1360"/>
      <c r="E139" s="1360"/>
      <c r="F139" s="1360"/>
      <c r="G139" s="1360"/>
      <c r="H139" s="1360"/>
      <c r="I139" s="1360"/>
      <c r="J139" s="1360"/>
      <c r="K139" s="1360"/>
      <c r="L139" s="1360"/>
      <c r="M139" s="1360"/>
      <c r="N139" s="1360"/>
      <c r="T139" s="32"/>
      <c r="U139" s="32"/>
      <c r="V139" s="32"/>
      <c r="W139" s="616"/>
    </row>
    <row r="140" spans="1:23" ht="12.75" hidden="1" customHeight="1" x14ac:dyDescent="0.2">
      <c r="A140" s="1360"/>
      <c r="B140" s="1360"/>
      <c r="C140" s="1360"/>
      <c r="D140" s="1360"/>
      <c r="E140" s="1360"/>
      <c r="F140" s="1360"/>
      <c r="G140" s="1360"/>
      <c r="H140" s="1360"/>
      <c r="I140" s="1360"/>
      <c r="J140" s="1360"/>
      <c r="K140" s="1360"/>
      <c r="L140" s="1360"/>
      <c r="M140" s="1360"/>
      <c r="N140" s="1360"/>
      <c r="T140" s="32"/>
      <c r="U140" s="32"/>
      <c r="V140" s="32"/>
      <c r="W140" s="616"/>
    </row>
    <row r="141" spans="1:23" ht="12.75" hidden="1" customHeight="1" x14ac:dyDescent="0.2">
      <c r="A141" s="1360"/>
      <c r="B141" s="1360"/>
      <c r="C141" s="1360"/>
      <c r="D141" s="1360"/>
      <c r="E141" s="1360"/>
      <c r="F141" s="1360"/>
      <c r="G141" s="1360"/>
      <c r="H141" s="1360"/>
      <c r="I141" s="1360"/>
      <c r="J141" s="1360"/>
      <c r="K141" s="1360"/>
      <c r="L141" s="1360"/>
      <c r="M141" s="1360"/>
      <c r="N141" s="1360"/>
      <c r="T141" s="32"/>
      <c r="U141" s="32"/>
      <c r="V141" s="32"/>
      <c r="W141" s="616"/>
    </row>
    <row r="142" spans="1:23" ht="12.75" hidden="1" customHeight="1" x14ac:dyDescent="0.2">
      <c r="A142" s="1360"/>
      <c r="B142" s="1360"/>
      <c r="C142" s="1360"/>
      <c r="D142" s="1360"/>
      <c r="E142" s="1360"/>
      <c r="F142" s="1360"/>
      <c r="G142" s="1360"/>
      <c r="H142" s="1360"/>
      <c r="I142" s="1360"/>
      <c r="J142" s="1360"/>
      <c r="K142" s="1360"/>
      <c r="L142" s="1360"/>
      <c r="M142" s="1360"/>
      <c r="N142" s="1360"/>
      <c r="T142" s="32"/>
      <c r="U142" s="32"/>
      <c r="V142" s="32"/>
      <c r="W142" s="616"/>
    </row>
    <row r="143" spans="1:23" ht="12.75" hidden="1" customHeight="1" x14ac:dyDescent="0.2">
      <c r="A143" s="1360"/>
      <c r="B143" s="1360"/>
      <c r="C143" s="1360"/>
      <c r="D143" s="1360"/>
      <c r="E143" s="1360"/>
      <c r="F143" s="1360"/>
      <c r="G143" s="1360"/>
      <c r="H143" s="1360"/>
      <c r="I143" s="1360"/>
      <c r="J143" s="1360"/>
      <c r="K143" s="1360"/>
      <c r="L143" s="1360"/>
      <c r="M143" s="1360"/>
      <c r="N143" s="1360"/>
      <c r="T143" s="32"/>
      <c r="U143" s="32"/>
      <c r="V143" s="32"/>
      <c r="W143" s="616"/>
    </row>
    <row r="144" spans="1:23" ht="12.75" hidden="1" customHeight="1" x14ac:dyDescent="0.2">
      <c r="A144" s="1360"/>
      <c r="B144" s="1360"/>
      <c r="C144" s="1360"/>
      <c r="D144" s="1360"/>
      <c r="E144" s="1360"/>
      <c r="F144" s="1360"/>
      <c r="G144" s="1360"/>
      <c r="H144" s="1360"/>
      <c r="I144" s="1360"/>
      <c r="J144" s="1360"/>
      <c r="K144" s="1360"/>
      <c r="L144" s="1360"/>
      <c r="M144" s="1360"/>
      <c r="N144" s="1360"/>
      <c r="T144" s="32"/>
      <c r="U144" s="32"/>
      <c r="V144" s="32"/>
      <c r="W144" s="616"/>
    </row>
    <row r="145" spans="1:23" ht="12.75" hidden="1" customHeight="1" x14ac:dyDescent="0.2">
      <c r="A145" s="1360"/>
      <c r="B145" s="1360"/>
      <c r="C145" s="1360"/>
      <c r="D145" s="1360"/>
      <c r="E145" s="1360"/>
      <c r="F145" s="1360"/>
      <c r="G145" s="1360"/>
      <c r="H145" s="1360"/>
      <c r="I145" s="1360"/>
      <c r="J145" s="1360"/>
      <c r="K145" s="1360"/>
      <c r="L145" s="1360"/>
      <c r="M145" s="1360"/>
      <c r="N145" s="1360"/>
      <c r="T145" s="32"/>
      <c r="U145" s="32"/>
      <c r="V145" s="32"/>
      <c r="W145" s="616"/>
    </row>
    <row r="146" spans="1:23" ht="12.75" hidden="1" customHeight="1" x14ac:dyDescent="0.2">
      <c r="A146" s="1360"/>
      <c r="B146" s="1360"/>
      <c r="C146" s="1360"/>
      <c r="D146" s="1360"/>
      <c r="E146" s="1360"/>
      <c r="F146" s="1360"/>
      <c r="G146" s="1360"/>
      <c r="H146" s="1360"/>
      <c r="I146" s="1360"/>
      <c r="J146" s="1360"/>
      <c r="K146" s="1360"/>
      <c r="L146" s="1360"/>
      <c r="M146" s="1360"/>
      <c r="N146" s="1360"/>
      <c r="T146" s="32"/>
      <c r="U146" s="32"/>
      <c r="V146" s="32"/>
      <c r="W146" s="616"/>
    </row>
    <row r="147" spans="1:23" ht="12.75" hidden="1" customHeight="1" x14ac:dyDescent="0.2">
      <c r="A147" s="1360"/>
      <c r="B147" s="1360"/>
      <c r="C147" s="1360"/>
      <c r="D147" s="1360"/>
      <c r="E147" s="1360"/>
      <c r="F147" s="1360"/>
      <c r="G147" s="1360"/>
      <c r="H147" s="1360"/>
      <c r="I147" s="1360"/>
      <c r="J147" s="1360"/>
      <c r="K147" s="1360"/>
      <c r="L147" s="1360"/>
      <c r="M147" s="1360"/>
      <c r="N147" s="1360"/>
    </row>
    <row r="148" spans="1:23" ht="12.75" hidden="1" customHeight="1" x14ac:dyDescent="0.2">
      <c r="A148" s="1360"/>
      <c r="B148" s="1360"/>
      <c r="C148" s="1360"/>
      <c r="D148" s="1360"/>
      <c r="E148" s="1360"/>
      <c r="F148" s="1360"/>
      <c r="G148" s="1360"/>
      <c r="H148" s="1360"/>
      <c r="I148" s="1360"/>
      <c r="J148" s="1360"/>
      <c r="K148" s="1360"/>
      <c r="L148" s="1360"/>
      <c r="M148" s="1360"/>
      <c r="N148" s="1360"/>
    </row>
    <row r="149" spans="1:23" hidden="1" x14ac:dyDescent="0.2">
      <c r="A149" s="1360"/>
      <c r="B149" s="1360"/>
      <c r="C149" s="1360"/>
      <c r="D149" s="1360"/>
      <c r="E149" s="1360"/>
      <c r="F149" s="1360"/>
      <c r="G149" s="1360"/>
      <c r="H149" s="1360"/>
      <c r="I149" s="1360"/>
      <c r="J149" s="1360"/>
      <c r="K149" s="1360"/>
      <c r="L149" s="1360"/>
      <c r="M149" s="1360"/>
      <c r="N149" s="1360"/>
    </row>
    <row r="150" spans="1:23" hidden="1" x14ac:dyDescent="0.2">
      <c r="A150" s="1360"/>
      <c r="B150" s="1360"/>
      <c r="C150" s="1360"/>
      <c r="D150" s="1360"/>
      <c r="E150" s="1360"/>
      <c r="F150" s="1360"/>
      <c r="G150" s="1360"/>
      <c r="H150" s="1360"/>
      <c r="I150" s="1360"/>
      <c r="J150" s="1360"/>
      <c r="K150" s="1360"/>
      <c r="L150" s="1360"/>
      <c r="M150" s="1360"/>
      <c r="N150" s="1360"/>
    </row>
    <row r="151" spans="1:23" hidden="1" x14ac:dyDescent="0.2">
      <c r="A151" s="1360"/>
      <c r="B151" s="1360"/>
      <c r="C151" s="1360"/>
      <c r="D151" s="1360"/>
      <c r="E151" s="1360"/>
      <c r="F151" s="1360"/>
      <c r="G151" s="1360"/>
      <c r="H151" s="1360"/>
      <c r="I151" s="1360"/>
      <c r="J151" s="1360"/>
      <c r="K151" s="1360"/>
      <c r="L151" s="1360"/>
      <c r="M151" s="1360"/>
      <c r="N151" s="1360"/>
    </row>
    <row r="152" spans="1:23" hidden="1" x14ac:dyDescent="0.2">
      <c r="A152" s="1360"/>
      <c r="B152" s="1360"/>
      <c r="C152" s="1360"/>
      <c r="D152" s="1360"/>
      <c r="E152" s="1360"/>
      <c r="F152" s="1360"/>
      <c r="G152" s="1360"/>
      <c r="H152" s="1360"/>
      <c r="I152" s="1360"/>
      <c r="J152" s="1360"/>
      <c r="K152" s="1360"/>
      <c r="L152" s="1360"/>
      <c r="M152" s="1360"/>
      <c r="N152" s="1360"/>
    </row>
    <row r="153" spans="1:23" hidden="1" x14ac:dyDescent="0.2">
      <c r="A153" s="1360"/>
      <c r="B153" s="1360"/>
      <c r="C153" s="1360"/>
      <c r="D153" s="1360"/>
      <c r="E153" s="1360"/>
      <c r="F153" s="1360"/>
      <c r="G153" s="1360"/>
      <c r="H153" s="1360"/>
      <c r="I153" s="1360"/>
      <c r="J153" s="1360"/>
      <c r="K153" s="1360"/>
      <c r="L153" s="1360"/>
      <c r="M153" s="1360"/>
      <c r="N153" s="1360"/>
    </row>
    <row r="154" spans="1:23" hidden="1" x14ac:dyDescent="0.2">
      <c r="A154" s="1360"/>
      <c r="B154" s="1360"/>
      <c r="C154" s="1360"/>
      <c r="D154" s="1360"/>
      <c r="E154" s="1360"/>
      <c r="F154" s="1360"/>
      <c r="G154" s="1360"/>
      <c r="H154" s="1360"/>
      <c r="I154" s="1360"/>
      <c r="J154" s="1360"/>
      <c r="K154" s="1360"/>
      <c r="L154" s="1360"/>
      <c r="M154" s="1360"/>
      <c r="N154" s="1360"/>
    </row>
    <row r="155" spans="1:23" hidden="1" x14ac:dyDescent="0.2">
      <c r="A155" s="1360"/>
      <c r="B155" s="1360"/>
      <c r="C155" s="1360"/>
      <c r="D155" s="1360"/>
      <c r="E155" s="1360"/>
      <c r="F155" s="1360"/>
      <c r="G155" s="1360"/>
      <c r="H155" s="1360"/>
      <c r="I155" s="1360"/>
      <c r="J155" s="1360"/>
      <c r="K155" s="1360"/>
      <c r="L155" s="1360"/>
      <c r="M155" s="1360"/>
      <c r="N155" s="1360"/>
    </row>
    <row r="156" spans="1:23" hidden="1" x14ac:dyDescent="0.2">
      <c r="A156" s="1360"/>
      <c r="B156" s="1360"/>
      <c r="C156" s="1360"/>
      <c r="D156" s="1360"/>
      <c r="E156" s="1360"/>
      <c r="F156" s="1360"/>
      <c r="G156" s="1360"/>
      <c r="H156" s="1360"/>
      <c r="I156" s="1360"/>
      <c r="J156" s="1360"/>
      <c r="K156" s="1360"/>
      <c r="L156" s="1360"/>
      <c r="M156" s="1360"/>
      <c r="N156" s="1360"/>
    </row>
    <row r="157" spans="1:23" hidden="1" x14ac:dyDescent="0.2">
      <c r="A157" s="1360"/>
      <c r="B157" s="1360"/>
      <c r="C157" s="1360"/>
      <c r="D157" s="1360"/>
      <c r="E157" s="1360"/>
      <c r="F157" s="1360"/>
      <c r="G157" s="1360"/>
      <c r="H157" s="1360"/>
      <c r="I157" s="1360"/>
      <c r="J157" s="1360"/>
      <c r="K157" s="1360"/>
      <c r="L157" s="1360"/>
      <c r="M157" s="1360"/>
      <c r="N157" s="1360"/>
    </row>
    <row r="158" spans="1:23" hidden="1" x14ac:dyDescent="0.2">
      <c r="A158" s="1360"/>
      <c r="B158" s="1360"/>
      <c r="C158" s="1360"/>
      <c r="D158" s="1360"/>
      <c r="E158" s="1360"/>
      <c r="F158" s="1360"/>
      <c r="G158" s="1360"/>
      <c r="H158" s="1360"/>
      <c r="I158" s="1360"/>
      <c r="J158" s="1360"/>
      <c r="K158" s="1360"/>
      <c r="L158" s="1360"/>
      <c r="M158" s="1360"/>
      <c r="N158" s="1360"/>
    </row>
    <row r="159" spans="1:23" hidden="1" x14ac:dyDescent="0.2">
      <c r="A159" s="1360"/>
      <c r="B159" s="1360"/>
      <c r="C159" s="1360"/>
      <c r="D159" s="1360"/>
      <c r="E159" s="1360"/>
      <c r="F159" s="1360"/>
      <c r="G159" s="1360"/>
      <c r="H159" s="1360"/>
      <c r="I159" s="1360"/>
      <c r="J159" s="1360"/>
      <c r="K159" s="1360"/>
      <c r="L159" s="1360"/>
      <c r="M159" s="1360"/>
      <c r="N159" s="1360"/>
    </row>
    <row r="160" spans="1:23" hidden="1" x14ac:dyDescent="0.2">
      <c r="A160" s="1360"/>
      <c r="B160" s="1360"/>
      <c r="C160" s="1360"/>
      <c r="D160" s="1360"/>
      <c r="E160" s="1360"/>
      <c r="F160" s="1360"/>
      <c r="G160" s="1360"/>
      <c r="H160" s="1360"/>
      <c r="I160" s="1360"/>
      <c r="J160" s="1360"/>
      <c r="K160" s="1360"/>
      <c r="L160" s="1360"/>
      <c r="M160" s="1360"/>
      <c r="N160" s="1360"/>
    </row>
    <row r="161" spans="1:23" hidden="1" x14ac:dyDescent="0.2">
      <c r="A161" s="1360"/>
      <c r="B161" s="1360"/>
      <c r="C161" s="1360"/>
      <c r="D161" s="1360"/>
      <c r="E161" s="1360"/>
      <c r="F161" s="1360"/>
      <c r="G161" s="1360"/>
      <c r="H161" s="1360"/>
      <c r="I161" s="1360"/>
      <c r="J161" s="1360"/>
      <c r="K161" s="1360"/>
      <c r="L161" s="1360"/>
      <c r="M161" s="1360"/>
      <c r="N161" s="1360"/>
    </row>
    <row r="162" spans="1:23" hidden="1" x14ac:dyDescent="0.2">
      <c r="A162" s="1360"/>
      <c r="B162" s="1360"/>
      <c r="C162" s="1360"/>
      <c r="D162" s="1360"/>
      <c r="E162" s="1360"/>
      <c r="F162" s="1360"/>
      <c r="G162" s="1360"/>
      <c r="H162" s="1360"/>
      <c r="I162" s="1360"/>
      <c r="J162" s="1360"/>
      <c r="K162" s="1360"/>
      <c r="L162" s="1360"/>
      <c r="M162" s="1360"/>
      <c r="N162" s="1360"/>
    </row>
    <row r="163" spans="1:23" hidden="1" x14ac:dyDescent="0.2">
      <c r="A163" s="1360"/>
      <c r="B163" s="1360"/>
      <c r="C163" s="1360"/>
      <c r="D163" s="1360"/>
      <c r="E163" s="1360"/>
      <c r="F163" s="1360"/>
      <c r="G163" s="1360"/>
      <c r="H163" s="1360"/>
      <c r="I163" s="1360"/>
      <c r="J163" s="1360"/>
      <c r="K163" s="1360"/>
      <c r="L163" s="1360"/>
      <c r="M163" s="1360"/>
      <c r="N163" s="1360"/>
      <c r="T163" s="32"/>
      <c r="U163" s="32"/>
      <c r="V163" s="32"/>
      <c r="W163" s="32"/>
    </row>
    <row r="164" spans="1:23" hidden="1" x14ac:dyDescent="0.2">
      <c r="A164" s="1360"/>
      <c r="B164" s="1360"/>
      <c r="C164" s="1360"/>
      <c r="D164" s="1360"/>
      <c r="E164" s="1360"/>
      <c r="F164" s="1360"/>
      <c r="G164" s="1360"/>
      <c r="H164" s="1360"/>
      <c r="I164" s="1360"/>
      <c r="J164" s="1360"/>
      <c r="K164" s="1360"/>
      <c r="L164" s="1360"/>
      <c r="M164" s="1360"/>
      <c r="N164" s="1360"/>
      <c r="T164" s="32"/>
      <c r="U164" s="32"/>
      <c r="V164" s="32"/>
      <c r="W164" s="32"/>
    </row>
    <row r="165" spans="1:23" hidden="1" x14ac:dyDescent="0.2">
      <c r="A165" s="1360"/>
      <c r="B165" s="1360"/>
      <c r="C165" s="1360"/>
      <c r="D165" s="1360"/>
      <c r="E165" s="1360"/>
      <c r="F165" s="1360"/>
      <c r="G165" s="1360"/>
      <c r="H165" s="1360"/>
      <c r="I165" s="1360"/>
      <c r="J165" s="1360"/>
      <c r="K165" s="1360"/>
      <c r="L165" s="1360"/>
      <c r="M165" s="1360"/>
      <c r="N165" s="1360"/>
      <c r="T165" s="32"/>
      <c r="U165" s="32"/>
      <c r="V165" s="32"/>
      <c r="W165" s="32"/>
    </row>
    <row r="166" spans="1:23" hidden="1" x14ac:dyDescent="0.2">
      <c r="A166" s="1360"/>
      <c r="B166" s="1360"/>
      <c r="C166" s="1360"/>
      <c r="D166" s="1360"/>
      <c r="E166" s="1360"/>
      <c r="F166" s="1360"/>
      <c r="G166" s="1360"/>
      <c r="H166" s="1360"/>
      <c r="I166" s="1360"/>
      <c r="J166" s="1360"/>
      <c r="K166" s="1360"/>
      <c r="L166" s="1360"/>
      <c r="M166" s="1360"/>
      <c r="N166" s="1360"/>
      <c r="T166" s="32"/>
      <c r="U166" s="32"/>
      <c r="V166" s="32"/>
      <c r="W166" s="32"/>
    </row>
    <row r="167" spans="1:23" hidden="1" x14ac:dyDescent="0.2">
      <c r="A167" s="1360"/>
      <c r="B167" s="1360"/>
      <c r="C167" s="1360"/>
      <c r="D167" s="1360"/>
      <c r="E167" s="1360"/>
      <c r="F167" s="1360"/>
      <c r="G167" s="1360"/>
      <c r="H167" s="1360"/>
      <c r="I167" s="1360"/>
      <c r="J167" s="1360"/>
      <c r="K167" s="1360"/>
      <c r="L167" s="1360"/>
      <c r="M167" s="1360"/>
      <c r="N167" s="1360"/>
      <c r="T167" s="32"/>
      <c r="U167" s="32"/>
      <c r="V167" s="32"/>
      <c r="W167" s="32"/>
    </row>
    <row r="168" spans="1:23" hidden="1" x14ac:dyDescent="0.2">
      <c r="A168" s="1360"/>
      <c r="B168" s="1360"/>
      <c r="C168" s="1360"/>
      <c r="D168" s="1360"/>
      <c r="E168" s="1360"/>
      <c r="F168" s="1360"/>
      <c r="G168" s="1360"/>
      <c r="H168" s="1360"/>
      <c r="I168" s="1360"/>
      <c r="J168" s="1360"/>
      <c r="K168" s="1360"/>
      <c r="L168" s="1360"/>
      <c r="M168" s="1360"/>
      <c r="N168" s="1360"/>
      <c r="T168" s="32"/>
      <c r="U168" s="32"/>
      <c r="V168" s="32"/>
      <c r="W168" s="32"/>
    </row>
    <row r="169" spans="1:23" hidden="1" x14ac:dyDescent="0.2">
      <c r="A169" s="1360"/>
      <c r="B169" s="1360"/>
      <c r="C169" s="1360"/>
      <c r="D169" s="1360"/>
      <c r="E169" s="1360"/>
      <c r="F169" s="1360"/>
      <c r="G169" s="1360"/>
      <c r="H169" s="1360"/>
      <c r="I169" s="1360"/>
      <c r="J169" s="1360"/>
      <c r="K169" s="1360"/>
      <c r="L169" s="1360"/>
      <c r="M169" s="1360"/>
      <c r="N169" s="1360"/>
      <c r="T169" s="32"/>
      <c r="U169" s="32"/>
      <c r="V169" s="32"/>
      <c r="W169" s="32"/>
    </row>
    <row r="170" spans="1:23" hidden="1" x14ac:dyDescent="0.2">
      <c r="A170" s="1360"/>
      <c r="B170" s="1360"/>
      <c r="C170" s="1360"/>
      <c r="D170" s="1360"/>
      <c r="E170" s="1360"/>
      <c r="F170" s="1360"/>
      <c r="G170" s="1360"/>
      <c r="H170" s="1360"/>
      <c r="I170" s="1360"/>
      <c r="J170" s="1360"/>
      <c r="K170" s="1360"/>
      <c r="L170" s="1360"/>
      <c r="M170" s="1360"/>
      <c r="N170" s="1360"/>
      <c r="T170" s="32"/>
      <c r="U170" s="32"/>
      <c r="V170" s="32"/>
      <c r="W170" s="32"/>
    </row>
    <row r="171" spans="1:23" hidden="1" x14ac:dyDescent="0.2">
      <c r="A171" s="1360"/>
      <c r="B171" s="1360"/>
      <c r="C171" s="1360"/>
      <c r="D171" s="1360"/>
      <c r="E171" s="1360"/>
      <c r="F171" s="1360"/>
      <c r="G171" s="1360"/>
      <c r="H171" s="1360"/>
      <c r="I171" s="1360"/>
      <c r="J171" s="1360"/>
      <c r="K171" s="1360"/>
      <c r="L171" s="1360"/>
      <c r="M171" s="1360"/>
      <c r="N171" s="1360"/>
      <c r="T171" s="32"/>
      <c r="U171" s="32"/>
      <c r="V171" s="32"/>
      <c r="W171" s="32"/>
    </row>
    <row r="172" spans="1:23" hidden="1" x14ac:dyDescent="0.2">
      <c r="A172" s="1360"/>
      <c r="B172" s="1360"/>
      <c r="C172" s="1360"/>
      <c r="D172" s="1360"/>
      <c r="E172" s="1360"/>
      <c r="F172" s="1360"/>
      <c r="G172" s="1360"/>
      <c r="H172" s="1360"/>
      <c r="I172" s="1360"/>
      <c r="J172" s="1360"/>
      <c r="K172" s="1360"/>
      <c r="L172" s="1360"/>
      <c r="M172" s="1360"/>
      <c r="N172" s="1360"/>
      <c r="T172" s="32"/>
      <c r="U172" s="32"/>
      <c r="V172" s="32"/>
      <c r="W172" s="32"/>
    </row>
    <row r="173" spans="1:23" hidden="1" x14ac:dyDescent="0.2">
      <c r="A173" s="1360"/>
      <c r="B173" s="1360"/>
      <c r="C173" s="1360"/>
      <c r="D173" s="1360"/>
      <c r="E173" s="1360"/>
      <c r="F173" s="1360"/>
      <c r="G173" s="1360"/>
      <c r="H173" s="1360"/>
      <c r="I173" s="1360"/>
      <c r="J173" s="1360"/>
      <c r="K173" s="1360"/>
      <c r="L173" s="1360"/>
      <c r="M173" s="1360"/>
      <c r="N173" s="1360"/>
      <c r="T173" s="32"/>
      <c r="U173" s="32"/>
      <c r="V173" s="32"/>
      <c r="W173" s="32"/>
    </row>
    <row r="174" spans="1:23" hidden="1" x14ac:dyDescent="0.2">
      <c r="A174" s="1360"/>
      <c r="B174" s="1360"/>
      <c r="C174" s="1360"/>
      <c r="D174" s="1360"/>
      <c r="E174" s="1360"/>
      <c r="F174" s="1360"/>
      <c r="G174" s="1360"/>
      <c r="H174" s="1360"/>
      <c r="I174" s="1360"/>
      <c r="J174" s="1360"/>
      <c r="K174" s="1360"/>
      <c r="L174" s="1360"/>
      <c r="M174" s="1360"/>
      <c r="N174" s="1360"/>
      <c r="T174" s="32"/>
      <c r="U174" s="32"/>
      <c r="V174" s="32"/>
      <c r="W174" s="32"/>
    </row>
    <row r="175" spans="1:23" hidden="1" x14ac:dyDescent="0.2">
      <c r="A175" s="1360"/>
      <c r="B175" s="1360"/>
      <c r="C175" s="1360"/>
      <c r="D175" s="1360"/>
      <c r="E175" s="1360"/>
      <c r="F175" s="1360"/>
      <c r="G175" s="1360"/>
      <c r="H175" s="1360"/>
      <c r="I175" s="1360"/>
      <c r="J175" s="1360"/>
      <c r="K175" s="1360"/>
      <c r="L175" s="1360"/>
      <c r="M175" s="1360"/>
      <c r="N175" s="1360"/>
      <c r="T175" s="32"/>
      <c r="U175" s="32"/>
      <c r="V175" s="32"/>
      <c r="W175" s="32"/>
    </row>
    <row r="176" spans="1:23" hidden="1" x14ac:dyDescent="0.2">
      <c r="A176" s="1360"/>
      <c r="B176" s="1360"/>
      <c r="C176" s="1360"/>
      <c r="D176" s="1360"/>
      <c r="E176" s="1360"/>
      <c r="F176" s="1360"/>
      <c r="G176" s="1360"/>
      <c r="H176" s="1360"/>
      <c r="I176" s="1360"/>
      <c r="J176" s="1360"/>
      <c r="K176" s="1360"/>
      <c r="L176" s="1360"/>
      <c r="M176" s="1360"/>
      <c r="N176" s="1360"/>
    </row>
    <row r="177" spans="1:14" hidden="1" x14ac:dyDescent="0.2">
      <c r="A177" s="1360"/>
      <c r="B177" s="1360"/>
      <c r="C177" s="1360"/>
      <c r="D177" s="1360"/>
      <c r="E177" s="1360"/>
      <c r="F177" s="1360"/>
      <c r="G177" s="1360"/>
      <c r="H177" s="1360"/>
      <c r="I177" s="1360"/>
      <c r="J177" s="1360"/>
      <c r="K177" s="1360"/>
      <c r="L177" s="1360"/>
      <c r="M177" s="1360"/>
      <c r="N177" s="1360"/>
    </row>
    <row r="178" spans="1:14" hidden="1" x14ac:dyDescent="0.2">
      <c r="A178" s="1360"/>
      <c r="B178" s="1360"/>
      <c r="C178" s="1360"/>
      <c r="D178" s="1360"/>
      <c r="E178" s="1360"/>
      <c r="F178" s="1360"/>
      <c r="G178" s="1360"/>
      <c r="H178" s="1360"/>
      <c r="I178" s="1360"/>
      <c r="J178" s="1360"/>
      <c r="K178" s="1360"/>
      <c r="L178" s="1360"/>
      <c r="M178" s="1360"/>
      <c r="N178" s="1360"/>
    </row>
    <row r="179" spans="1:14" hidden="1" x14ac:dyDescent="0.2">
      <c r="A179" s="1360"/>
      <c r="B179" s="1360"/>
      <c r="C179" s="1360"/>
      <c r="D179" s="1360"/>
      <c r="E179" s="1360"/>
      <c r="F179" s="1360"/>
      <c r="G179" s="1360"/>
      <c r="H179" s="1360"/>
      <c r="I179" s="1360"/>
      <c r="J179" s="1360"/>
      <c r="K179" s="1360"/>
      <c r="L179" s="1360"/>
      <c r="M179" s="1360"/>
      <c r="N179" s="1360"/>
    </row>
    <row r="180" spans="1:14" hidden="1" x14ac:dyDescent="0.2">
      <c r="A180" s="1360"/>
      <c r="B180" s="1360"/>
      <c r="C180" s="1360"/>
      <c r="D180" s="1360"/>
      <c r="E180" s="1360"/>
      <c r="F180" s="1360"/>
      <c r="G180" s="1360"/>
      <c r="H180" s="1360"/>
      <c r="I180" s="1360"/>
      <c r="J180" s="1360"/>
      <c r="K180" s="1360"/>
      <c r="L180" s="1360"/>
      <c r="M180" s="1360"/>
      <c r="N180" s="1360"/>
    </row>
    <row r="181" spans="1:14" hidden="1" x14ac:dyDescent="0.2">
      <c r="A181" s="1360"/>
      <c r="B181" s="1360"/>
      <c r="C181" s="1360"/>
      <c r="D181" s="1360"/>
      <c r="E181" s="1360"/>
      <c r="F181" s="1360"/>
      <c r="G181" s="1360"/>
      <c r="H181" s="1360"/>
      <c r="I181" s="1360"/>
      <c r="J181" s="1360"/>
      <c r="K181" s="1360"/>
      <c r="L181" s="1360"/>
      <c r="M181" s="1360"/>
      <c r="N181" s="1360"/>
    </row>
    <row r="182" spans="1:14" hidden="1" x14ac:dyDescent="0.2">
      <c r="A182" s="1360"/>
      <c r="B182" s="1360"/>
      <c r="C182" s="1360"/>
      <c r="D182" s="1360"/>
      <c r="E182" s="1360"/>
      <c r="F182" s="1360"/>
      <c r="G182" s="1360"/>
      <c r="H182" s="1360"/>
      <c r="I182" s="1360"/>
      <c r="J182" s="1360"/>
      <c r="K182" s="1360"/>
      <c r="L182" s="1360"/>
      <c r="M182" s="1360"/>
      <c r="N182" s="1360"/>
    </row>
    <row r="183" spans="1:14" hidden="1" x14ac:dyDescent="0.2">
      <c r="A183" s="1360"/>
      <c r="B183" s="1360"/>
      <c r="C183" s="1360"/>
      <c r="D183" s="1360"/>
      <c r="E183" s="1360"/>
      <c r="F183" s="1360"/>
      <c r="G183" s="1360"/>
      <c r="H183" s="1360"/>
      <c r="I183" s="1360"/>
      <c r="J183" s="1360"/>
      <c r="K183" s="1360"/>
      <c r="L183" s="1360"/>
      <c r="M183" s="1360"/>
      <c r="N183" s="1360"/>
    </row>
    <row r="184" spans="1:14" hidden="1" x14ac:dyDescent="0.2">
      <c r="A184" s="1360"/>
      <c r="B184" s="1360"/>
      <c r="C184" s="1360"/>
      <c r="D184" s="1360"/>
      <c r="E184" s="1360"/>
      <c r="F184" s="1360"/>
      <c r="G184" s="1360"/>
      <c r="H184" s="1360"/>
      <c r="I184" s="1360"/>
      <c r="J184" s="1360"/>
      <c r="K184" s="1360"/>
      <c r="L184" s="1360"/>
      <c r="M184" s="1360"/>
      <c r="N184" s="1360"/>
    </row>
    <row r="185" spans="1:14" hidden="1" x14ac:dyDescent="0.2">
      <c r="A185" s="1360"/>
      <c r="B185" s="1360"/>
      <c r="C185" s="1360"/>
      <c r="D185" s="1360"/>
      <c r="E185" s="1360"/>
      <c r="F185" s="1360"/>
      <c r="G185" s="1360"/>
      <c r="H185" s="1360"/>
      <c r="I185" s="1360"/>
      <c r="J185" s="1360"/>
      <c r="K185" s="1360"/>
      <c r="L185" s="1360"/>
      <c r="M185" s="1360"/>
      <c r="N185" s="1360"/>
    </row>
    <row r="186" spans="1:14" hidden="1" x14ac:dyDescent="0.2">
      <c r="A186" s="1360"/>
      <c r="B186" s="1360"/>
      <c r="C186" s="1360"/>
      <c r="D186" s="1360"/>
      <c r="E186" s="1360"/>
      <c r="F186" s="1360"/>
      <c r="G186" s="1360"/>
      <c r="H186" s="1360"/>
      <c r="I186" s="1360"/>
      <c r="J186" s="1360"/>
      <c r="K186" s="1360"/>
      <c r="L186" s="1360"/>
      <c r="M186" s="1360"/>
      <c r="N186" s="1360"/>
    </row>
    <row r="187" spans="1:14" hidden="1" x14ac:dyDescent="0.2">
      <c r="A187" s="1360"/>
      <c r="B187" s="1360"/>
      <c r="C187" s="1360"/>
      <c r="D187" s="1360"/>
      <c r="E187" s="1360"/>
      <c r="F187" s="1360"/>
      <c r="G187" s="1360"/>
      <c r="H187" s="1360"/>
      <c r="I187" s="1360"/>
      <c r="J187" s="1360"/>
      <c r="K187" s="1360"/>
      <c r="L187" s="1360"/>
      <c r="M187" s="1360"/>
      <c r="N187" s="1360"/>
    </row>
    <row r="188" spans="1:14" hidden="1" x14ac:dyDescent="0.2">
      <c r="A188" s="1360"/>
      <c r="B188" s="1360"/>
      <c r="C188" s="1360"/>
      <c r="D188" s="1360"/>
      <c r="E188" s="1360"/>
      <c r="F188" s="1360"/>
      <c r="G188" s="1360"/>
      <c r="H188" s="1360"/>
      <c r="I188" s="1360"/>
      <c r="J188" s="1360"/>
      <c r="K188" s="1360"/>
      <c r="L188" s="1360"/>
      <c r="M188" s="1360"/>
      <c r="N188" s="1360"/>
    </row>
    <row r="189" spans="1:14" hidden="1" x14ac:dyDescent="0.2">
      <c r="A189" s="1360"/>
      <c r="B189" s="1360"/>
      <c r="C189" s="1360"/>
      <c r="D189" s="1360"/>
      <c r="E189" s="1360"/>
      <c r="F189" s="1360"/>
      <c r="G189" s="1360"/>
      <c r="H189" s="1360"/>
      <c r="I189" s="1360"/>
      <c r="J189" s="1360"/>
      <c r="K189" s="1360"/>
      <c r="L189" s="1360"/>
      <c r="M189" s="1360"/>
      <c r="N189" s="1360"/>
    </row>
    <row r="190" spans="1:14" hidden="1" x14ac:dyDescent="0.2">
      <c r="A190" s="1360"/>
      <c r="B190" s="1360"/>
      <c r="C190" s="1360"/>
      <c r="D190" s="1360"/>
      <c r="E190" s="1360"/>
      <c r="F190" s="1360"/>
      <c r="G190" s="1360"/>
      <c r="H190" s="1360"/>
      <c r="I190" s="1360"/>
      <c r="J190" s="1360"/>
      <c r="K190" s="1360"/>
      <c r="L190" s="1360"/>
      <c r="M190" s="1360"/>
      <c r="N190" s="1360"/>
    </row>
    <row r="191" spans="1:14" hidden="1" x14ac:dyDescent="0.2">
      <c r="A191" s="1360"/>
      <c r="B191" s="1360"/>
      <c r="C191" s="1360"/>
      <c r="D191" s="1360"/>
      <c r="E191" s="1360"/>
      <c r="F191" s="1360"/>
      <c r="G191" s="1360"/>
      <c r="H191" s="1360"/>
      <c r="I191" s="1360"/>
      <c r="J191" s="1360"/>
      <c r="K191" s="1360"/>
      <c r="L191" s="1360"/>
      <c r="M191" s="1360"/>
      <c r="N191" s="1360"/>
    </row>
    <row r="192" spans="1:14" hidden="1" x14ac:dyDescent="0.2">
      <c r="A192" s="1360"/>
      <c r="B192" s="1360"/>
      <c r="C192" s="1360"/>
      <c r="D192" s="1360"/>
      <c r="E192" s="1360"/>
      <c r="F192" s="1360"/>
      <c r="G192" s="1360"/>
      <c r="H192" s="1360"/>
      <c r="I192" s="1360"/>
      <c r="J192" s="1360"/>
      <c r="K192" s="1360"/>
      <c r="L192" s="1360"/>
      <c r="M192" s="1360"/>
      <c r="N192" s="1360"/>
    </row>
    <row r="193" spans="1:14" hidden="1" x14ac:dyDescent="0.2">
      <c r="A193" s="1360"/>
      <c r="B193" s="1360"/>
      <c r="C193" s="1360"/>
      <c r="D193" s="1360"/>
      <c r="E193" s="1360"/>
      <c r="F193" s="1360"/>
      <c r="G193" s="1360"/>
      <c r="H193" s="1360"/>
      <c r="I193" s="1360"/>
      <c r="J193" s="1360"/>
      <c r="K193" s="1360"/>
      <c r="L193" s="1360"/>
      <c r="M193" s="1360"/>
      <c r="N193" s="1360"/>
    </row>
    <row r="194" spans="1:14" hidden="1" x14ac:dyDescent="0.2">
      <c r="A194" s="1360"/>
      <c r="B194" s="1360"/>
      <c r="C194" s="1360"/>
      <c r="D194" s="1360"/>
      <c r="E194" s="1360"/>
      <c r="F194" s="1360"/>
      <c r="G194" s="1360"/>
      <c r="H194" s="1360"/>
      <c r="I194" s="1360"/>
      <c r="J194" s="1360"/>
      <c r="K194" s="1360"/>
      <c r="L194" s="1360"/>
      <c r="M194" s="1360"/>
      <c r="N194" s="1360"/>
    </row>
    <row r="195" spans="1:14" hidden="1" x14ac:dyDescent="0.2">
      <c r="A195" s="1360"/>
      <c r="B195" s="1360"/>
      <c r="C195" s="1360"/>
      <c r="D195" s="1360"/>
      <c r="E195" s="1360"/>
      <c r="F195" s="1360"/>
      <c r="G195" s="1360"/>
      <c r="H195" s="1360"/>
      <c r="I195" s="1360"/>
      <c r="J195" s="1360"/>
      <c r="K195" s="1360"/>
      <c r="L195" s="1360"/>
      <c r="M195" s="1360"/>
      <c r="N195" s="1360"/>
    </row>
    <row r="196" spans="1:14" hidden="1" x14ac:dyDescent="0.2">
      <c r="A196" s="1360"/>
      <c r="B196" s="1360"/>
      <c r="C196" s="1360"/>
      <c r="D196" s="1360"/>
      <c r="E196" s="1360"/>
      <c r="F196" s="1360"/>
      <c r="G196" s="1360"/>
      <c r="H196" s="1360"/>
      <c r="I196" s="1360"/>
      <c r="J196" s="1360"/>
      <c r="K196" s="1360"/>
      <c r="L196" s="1360"/>
      <c r="M196" s="1360"/>
      <c r="N196" s="1360"/>
    </row>
    <row r="197" spans="1:14" hidden="1" x14ac:dyDescent="0.2">
      <c r="A197" s="1360"/>
      <c r="B197" s="1360"/>
      <c r="C197" s="1360"/>
      <c r="D197" s="1360"/>
      <c r="E197" s="1360"/>
      <c r="F197" s="1360"/>
      <c r="G197" s="1360"/>
      <c r="H197" s="1360"/>
      <c r="I197" s="1360"/>
      <c r="J197" s="1360"/>
      <c r="K197" s="1360"/>
      <c r="L197" s="1360"/>
      <c r="M197" s="1360"/>
      <c r="N197" s="1360"/>
    </row>
    <row r="198" spans="1:14" hidden="1" x14ac:dyDescent="0.2">
      <c r="A198" s="1360"/>
      <c r="B198" s="1360"/>
      <c r="C198" s="1360"/>
      <c r="D198" s="1360"/>
      <c r="E198" s="1360"/>
      <c r="F198" s="1360"/>
      <c r="G198" s="1360"/>
      <c r="H198" s="1360"/>
      <c r="I198" s="1360"/>
      <c r="J198" s="1360"/>
      <c r="K198" s="1360"/>
      <c r="L198" s="1360"/>
      <c r="M198" s="1360"/>
      <c r="N198" s="1360"/>
    </row>
    <row r="199" spans="1:14" hidden="1" x14ac:dyDescent="0.2">
      <c r="A199" s="1360"/>
      <c r="B199" s="1360"/>
      <c r="C199" s="1360"/>
      <c r="D199" s="1360"/>
      <c r="E199" s="1360"/>
      <c r="F199" s="1360"/>
      <c r="G199" s="1360"/>
      <c r="H199" s="1360"/>
      <c r="I199" s="1360"/>
      <c r="J199" s="1360"/>
      <c r="K199" s="1360"/>
      <c r="L199" s="1360"/>
      <c r="M199" s="1360"/>
      <c r="N199" s="1360"/>
    </row>
    <row r="200" spans="1:14" hidden="1" x14ac:dyDescent="0.2">
      <c r="A200" s="1360"/>
      <c r="B200" s="1360"/>
      <c r="C200" s="1360"/>
      <c r="D200" s="1360"/>
      <c r="E200" s="1360"/>
      <c r="F200" s="1360"/>
      <c r="G200" s="1360"/>
      <c r="H200" s="1360"/>
      <c r="I200" s="1360"/>
      <c r="J200" s="1360"/>
      <c r="K200" s="1360"/>
      <c r="L200" s="1360"/>
      <c r="M200" s="1360"/>
      <c r="N200" s="1360"/>
    </row>
    <row r="201" spans="1:14" hidden="1" x14ac:dyDescent="0.2">
      <c r="A201" s="1360"/>
      <c r="B201" s="1360"/>
      <c r="C201" s="1360"/>
      <c r="D201" s="1360"/>
      <c r="E201" s="1360"/>
      <c r="F201" s="1360"/>
      <c r="G201" s="1360"/>
      <c r="H201" s="1360"/>
      <c r="I201" s="1360"/>
      <c r="J201" s="1360"/>
      <c r="K201" s="1360"/>
      <c r="L201" s="1360"/>
      <c r="M201" s="1360"/>
      <c r="N201" s="1360"/>
    </row>
    <row r="202" spans="1:14" hidden="1" x14ac:dyDescent="0.2">
      <c r="A202" s="1360"/>
      <c r="B202" s="1360"/>
      <c r="C202" s="1360"/>
      <c r="D202" s="1360"/>
      <c r="E202" s="1360"/>
      <c r="F202" s="1360"/>
      <c r="G202" s="1360"/>
      <c r="H202" s="1360"/>
      <c r="I202" s="1360"/>
      <c r="J202" s="1360"/>
      <c r="K202" s="1360"/>
      <c r="L202" s="1360"/>
      <c r="M202" s="1360"/>
      <c r="N202" s="1360"/>
    </row>
    <row r="203" spans="1:14" hidden="1" x14ac:dyDescent="0.2">
      <c r="A203" s="1360"/>
      <c r="B203" s="1360"/>
      <c r="C203" s="1360"/>
      <c r="D203" s="1360"/>
      <c r="E203" s="1360"/>
      <c r="F203" s="1360"/>
      <c r="G203" s="1360"/>
      <c r="H203" s="1360"/>
      <c r="I203" s="1360"/>
      <c r="J203" s="1360"/>
      <c r="K203" s="1360"/>
      <c r="L203" s="1360"/>
      <c r="M203" s="1360"/>
      <c r="N203" s="1360"/>
    </row>
    <row r="204" spans="1:14" hidden="1" x14ac:dyDescent="0.2">
      <c r="A204" s="1360"/>
      <c r="B204" s="1360"/>
      <c r="C204" s="1360"/>
      <c r="D204" s="1360"/>
      <c r="E204" s="1360"/>
      <c r="F204" s="1360"/>
      <c r="G204" s="1360"/>
      <c r="H204" s="1360"/>
      <c r="I204" s="1360"/>
      <c r="J204" s="1360"/>
      <c r="K204" s="1360"/>
      <c r="L204" s="1360"/>
      <c r="M204" s="1360"/>
      <c r="N204" s="1360"/>
    </row>
    <row r="205" spans="1:14" hidden="1" x14ac:dyDescent="0.2">
      <c r="A205" s="1360"/>
      <c r="B205" s="1360"/>
      <c r="C205" s="1360"/>
      <c r="D205" s="1360"/>
      <c r="E205" s="1360"/>
      <c r="F205" s="1360"/>
      <c r="G205" s="1360"/>
      <c r="H205" s="1360"/>
      <c r="I205" s="1360"/>
      <c r="J205" s="1360"/>
      <c r="K205" s="1360"/>
      <c r="L205" s="1360"/>
      <c r="M205" s="1360"/>
      <c r="N205" s="1360"/>
    </row>
    <row r="206" spans="1:14" hidden="1" x14ac:dyDescent="0.2">
      <c r="A206" s="1360"/>
      <c r="B206" s="1360"/>
      <c r="C206" s="1360"/>
      <c r="D206" s="1360"/>
      <c r="E206" s="1360"/>
      <c r="F206" s="1360"/>
      <c r="G206" s="1360"/>
      <c r="H206" s="1360"/>
      <c r="I206" s="1360"/>
      <c r="J206" s="1360"/>
      <c r="K206" s="1360"/>
      <c r="L206" s="1360"/>
      <c r="M206" s="1360"/>
      <c r="N206" s="1360"/>
    </row>
    <row r="207" spans="1:14" hidden="1" x14ac:dyDescent="0.2">
      <c r="A207" s="1360"/>
      <c r="B207" s="1360"/>
      <c r="C207" s="1360"/>
      <c r="D207" s="1360"/>
      <c r="E207" s="1360"/>
      <c r="F207" s="1360"/>
      <c r="G207" s="1360"/>
      <c r="H207" s="1360"/>
      <c r="I207" s="1360"/>
      <c r="J207" s="1360"/>
      <c r="K207" s="1360"/>
      <c r="L207" s="1360"/>
      <c r="M207" s="1360"/>
      <c r="N207" s="1360"/>
    </row>
    <row r="208" spans="1:14" hidden="1" x14ac:dyDescent="0.2">
      <c r="A208" s="1360"/>
      <c r="B208" s="1360"/>
      <c r="C208" s="1360"/>
      <c r="D208" s="1360"/>
      <c r="E208" s="1360"/>
      <c r="F208" s="1360"/>
      <c r="G208" s="1360"/>
      <c r="H208" s="1360"/>
      <c r="I208" s="1360"/>
      <c r="J208" s="1360"/>
      <c r="K208" s="1360"/>
      <c r="L208" s="1360"/>
      <c r="M208" s="1360"/>
      <c r="N208" s="1360"/>
    </row>
    <row r="209" spans="1:14" hidden="1" x14ac:dyDescent="0.2">
      <c r="A209" s="1360"/>
      <c r="B209" s="1360"/>
      <c r="C209" s="1360"/>
      <c r="D209" s="1360"/>
      <c r="E209" s="1360"/>
      <c r="F209" s="1360"/>
      <c r="G209" s="1360"/>
      <c r="H209" s="1360"/>
      <c r="I209" s="1360"/>
      <c r="J209" s="1360"/>
      <c r="K209" s="1360"/>
      <c r="L209" s="1360"/>
      <c r="M209" s="1360"/>
      <c r="N209" s="1360"/>
    </row>
    <row r="210" spans="1:14" hidden="1" x14ac:dyDescent="0.2">
      <c r="A210" s="1360"/>
      <c r="B210" s="1360"/>
      <c r="C210" s="1360"/>
      <c r="D210" s="1360"/>
      <c r="E210" s="1360"/>
      <c r="F210" s="1360"/>
      <c r="G210" s="1360"/>
      <c r="H210" s="1360"/>
      <c r="I210" s="1360"/>
      <c r="J210" s="1360"/>
      <c r="K210" s="1360"/>
      <c r="L210" s="1360"/>
      <c r="M210" s="1360"/>
      <c r="N210" s="1360"/>
    </row>
    <row r="211" spans="1:14" hidden="1" x14ac:dyDescent="0.2">
      <c r="A211" s="1360"/>
      <c r="B211" s="1360"/>
      <c r="C211" s="1360"/>
      <c r="D211" s="1360"/>
      <c r="E211" s="1360"/>
      <c r="F211" s="1360"/>
      <c r="G211" s="1360"/>
      <c r="H211" s="1360"/>
      <c r="I211" s="1360"/>
      <c r="J211" s="1360"/>
      <c r="K211" s="1360"/>
      <c r="L211" s="1360"/>
      <c r="M211" s="1360"/>
      <c r="N211" s="1360"/>
    </row>
    <row r="212" spans="1:14" hidden="1" x14ac:dyDescent="0.2">
      <c r="A212" s="1360"/>
      <c r="B212" s="1360"/>
      <c r="C212" s="1360"/>
      <c r="D212" s="1360"/>
      <c r="E212" s="1360"/>
      <c r="F212" s="1360"/>
      <c r="G212" s="1360"/>
      <c r="H212" s="1360"/>
      <c r="I212" s="1360"/>
      <c r="J212" s="1360"/>
      <c r="K212" s="1360"/>
      <c r="L212" s="1360"/>
      <c r="M212" s="1360"/>
      <c r="N212" s="1360"/>
    </row>
    <row r="213" spans="1:14" hidden="1" x14ac:dyDescent="0.2">
      <c r="A213" s="1360"/>
      <c r="B213" s="1360"/>
      <c r="C213" s="1360"/>
      <c r="D213" s="1360"/>
      <c r="E213" s="1360"/>
      <c r="F213" s="1360"/>
      <c r="G213" s="1360"/>
      <c r="H213" s="1360"/>
      <c r="I213" s="1360"/>
      <c r="J213" s="1360"/>
      <c r="K213" s="1360"/>
      <c r="L213" s="1360"/>
      <c r="M213" s="1360"/>
      <c r="N213" s="1360"/>
    </row>
    <row r="214" spans="1:14" hidden="1" x14ac:dyDescent="0.2">
      <c r="A214" s="1360"/>
      <c r="B214" s="1360"/>
      <c r="C214" s="1360"/>
      <c r="D214" s="1360"/>
      <c r="E214" s="1360"/>
      <c r="F214" s="1360"/>
      <c r="G214" s="1360"/>
      <c r="H214" s="1360"/>
      <c r="I214" s="1360"/>
      <c r="J214" s="1360"/>
      <c r="K214" s="1360"/>
      <c r="L214" s="1360"/>
      <c r="M214" s="1360"/>
      <c r="N214" s="1360"/>
    </row>
    <row r="215" spans="1:14" hidden="1" x14ac:dyDescent="0.2">
      <c r="A215" s="1360"/>
      <c r="B215" s="1360"/>
      <c r="C215" s="1360"/>
      <c r="D215" s="1360"/>
      <c r="E215" s="1360"/>
      <c r="F215" s="1360"/>
      <c r="G215" s="1360"/>
      <c r="H215" s="1360"/>
      <c r="I215" s="1360"/>
      <c r="J215" s="1360"/>
      <c r="K215" s="1360"/>
      <c r="L215" s="1360"/>
      <c r="M215" s="1360"/>
      <c r="N215" s="1360"/>
    </row>
    <row r="216" spans="1:14" hidden="1" x14ac:dyDescent="0.2">
      <c r="A216" s="1360"/>
      <c r="B216" s="1360"/>
      <c r="C216" s="1360"/>
      <c r="D216" s="1360"/>
      <c r="E216" s="1360"/>
      <c r="F216" s="1360"/>
      <c r="G216" s="1360"/>
      <c r="H216" s="1360"/>
      <c r="I216" s="1360"/>
      <c r="J216" s="1360"/>
      <c r="K216" s="1360"/>
      <c r="L216" s="1360"/>
      <c r="M216" s="1360"/>
      <c r="N216" s="1360"/>
    </row>
    <row r="217" spans="1:14" hidden="1" x14ac:dyDescent="0.2">
      <c r="A217" s="1360"/>
      <c r="B217" s="1360"/>
      <c r="C217" s="1360"/>
      <c r="D217" s="1360"/>
      <c r="E217" s="1360"/>
      <c r="F217" s="1360"/>
      <c r="G217" s="1360"/>
      <c r="H217" s="1360"/>
      <c r="I217" s="1360"/>
      <c r="J217" s="1360"/>
      <c r="K217" s="1360"/>
      <c r="L217" s="1360"/>
      <c r="M217" s="1360"/>
      <c r="N217" s="1360"/>
    </row>
    <row r="218" spans="1:14" hidden="1" x14ac:dyDescent="0.2">
      <c r="A218" s="1360"/>
      <c r="B218" s="1360"/>
      <c r="C218" s="1360"/>
      <c r="D218" s="1360"/>
      <c r="E218" s="1360"/>
      <c r="F218" s="1360"/>
      <c r="G218" s="1360"/>
      <c r="H218" s="1360"/>
      <c r="I218" s="1360"/>
      <c r="J218" s="1360"/>
      <c r="K218" s="1360"/>
      <c r="L218" s="1360"/>
      <c r="M218" s="1360"/>
      <c r="N218" s="1360"/>
    </row>
    <row r="219" spans="1:14" hidden="1" x14ac:dyDescent="0.2">
      <c r="A219" s="1360"/>
      <c r="B219" s="1360"/>
      <c r="C219" s="1360"/>
      <c r="D219" s="1360"/>
      <c r="E219" s="1360"/>
      <c r="F219" s="1360"/>
      <c r="G219" s="1360"/>
      <c r="H219" s="1360"/>
      <c r="I219" s="1360"/>
      <c r="J219" s="1360"/>
      <c r="K219" s="1360"/>
      <c r="L219" s="1360"/>
      <c r="M219" s="1360"/>
      <c r="N219" s="1360"/>
    </row>
    <row r="220" spans="1:14" hidden="1" x14ac:dyDescent="0.2">
      <c r="A220" s="1360"/>
      <c r="B220" s="1360"/>
      <c r="C220" s="1360"/>
      <c r="D220" s="1360"/>
      <c r="E220" s="1360"/>
      <c r="F220" s="1360"/>
      <c r="G220" s="1360"/>
      <c r="H220" s="1360"/>
      <c r="I220" s="1360"/>
      <c r="J220" s="1360"/>
      <c r="K220" s="1360"/>
      <c r="L220" s="1360"/>
      <c r="M220" s="1360"/>
      <c r="N220" s="1360"/>
    </row>
    <row r="221" spans="1:14" hidden="1" x14ac:dyDescent="0.2">
      <c r="A221" s="1360"/>
      <c r="B221" s="1360"/>
      <c r="C221" s="1360"/>
      <c r="D221" s="1360"/>
      <c r="E221" s="1360"/>
      <c r="F221" s="1360"/>
      <c r="G221" s="1360"/>
      <c r="H221" s="1360"/>
      <c r="I221" s="1360"/>
      <c r="J221" s="1360"/>
      <c r="K221" s="1360"/>
      <c r="L221" s="1360"/>
      <c r="M221" s="1360"/>
      <c r="N221" s="1360"/>
    </row>
    <row r="222" spans="1:14" hidden="1" x14ac:dyDescent="0.2">
      <c r="A222" s="1360"/>
      <c r="B222" s="1360"/>
      <c r="C222" s="1360"/>
      <c r="D222" s="1360"/>
      <c r="E222" s="1360"/>
      <c r="F222" s="1360"/>
      <c r="G222" s="1360"/>
      <c r="H222" s="1360"/>
      <c r="I222" s="1360"/>
      <c r="J222" s="1360"/>
      <c r="K222" s="1360"/>
      <c r="L222" s="1360"/>
      <c r="M222" s="1360"/>
      <c r="N222" s="1360"/>
    </row>
    <row r="223" spans="1:14" hidden="1" x14ac:dyDescent="0.2">
      <c r="A223" s="1360"/>
      <c r="B223" s="1360"/>
      <c r="C223" s="1360"/>
      <c r="D223" s="1360"/>
      <c r="E223" s="1360"/>
      <c r="F223" s="1360"/>
      <c r="G223" s="1360"/>
      <c r="H223" s="1360"/>
      <c r="I223" s="1360"/>
      <c r="J223" s="1360"/>
      <c r="K223" s="1360"/>
      <c r="L223" s="1360"/>
      <c r="M223" s="1360"/>
      <c r="N223" s="1360"/>
    </row>
    <row r="224" spans="1:14" hidden="1" x14ac:dyDescent="0.2">
      <c r="A224" s="1360"/>
      <c r="B224" s="1360"/>
      <c r="C224" s="1360"/>
      <c r="D224" s="1360"/>
      <c r="E224" s="1360"/>
      <c r="F224" s="1360"/>
      <c r="G224" s="1360"/>
      <c r="H224" s="1360"/>
      <c r="I224" s="1360"/>
      <c r="J224" s="1360"/>
      <c r="K224" s="1360"/>
      <c r="L224" s="1360"/>
      <c r="M224" s="1360"/>
      <c r="N224" s="1360"/>
    </row>
    <row r="225" spans="1:14" hidden="1" x14ac:dyDescent="0.2">
      <c r="A225" s="1360"/>
      <c r="B225" s="1360"/>
      <c r="C225" s="1360"/>
      <c r="D225" s="1360"/>
      <c r="E225" s="1360"/>
      <c r="F225" s="1360"/>
      <c r="G225" s="1360"/>
      <c r="H225" s="1360"/>
      <c r="I225" s="1360"/>
      <c r="J225" s="1360"/>
      <c r="K225" s="1360"/>
      <c r="L225" s="1360"/>
      <c r="M225" s="1360"/>
      <c r="N225" s="1360"/>
    </row>
    <row r="226" spans="1:14" hidden="1" x14ac:dyDescent="0.2">
      <c r="A226" s="1360"/>
      <c r="B226" s="1360"/>
      <c r="C226" s="1360"/>
      <c r="D226" s="1360"/>
      <c r="E226" s="1360"/>
      <c r="F226" s="1360"/>
      <c r="G226" s="1360"/>
      <c r="H226" s="1360"/>
      <c r="I226" s="1360"/>
      <c r="J226" s="1360"/>
      <c r="K226" s="1360"/>
      <c r="L226" s="1360"/>
      <c r="M226" s="1360"/>
      <c r="N226" s="1360"/>
    </row>
    <row r="227" spans="1:14" hidden="1" x14ac:dyDescent="0.2">
      <c r="A227" s="1360"/>
      <c r="B227" s="1360"/>
      <c r="C227" s="1360"/>
      <c r="D227" s="1360"/>
      <c r="E227" s="1360"/>
      <c r="F227" s="1360"/>
      <c r="G227" s="1360"/>
      <c r="H227" s="1360"/>
      <c r="I227" s="1360"/>
      <c r="J227" s="1360"/>
      <c r="K227" s="1360"/>
      <c r="L227" s="1360"/>
      <c r="M227" s="1360"/>
      <c r="N227" s="1360"/>
    </row>
    <row r="228" spans="1:14" hidden="1" x14ac:dyDescent="0.2">
      <c r="A228" s="1360"/>
      <c r="B228" s="1360"/>
      <c r="C228" s="1360"/>
      <c r="D228" s="1360"/>
      <c r="E228" s="1360"/>
      <c r="F228" s="1360"/>
      <c r="G228" s="1360"/>
      <c r="H228" s="1360"/>
      <c r="I228" s="1360"/>
      <c r="J228" s="1360"/>
      <c r="K228" s="1360"/>
      <c r="L228" s="1360"/>
      <c r="M228" s="1360"/>
      <c r="N228" s="1360"/>
    </row>
    <row r="229" spans="1:14" hidden="1" x14ac:dyDescent="0.2">
      <c r="A229" s="1360"/>
      <c r="B229" s="1360"/>
      <c r="C229" s="1360"/>
      <c r="D229" s="1360"/>
      <c r="E229" s="1360"/>
      <c r="F229" s="1360"/>
      <c r="G229" s="1360"/>
      <c r="H229" s="1360"/>
      <c r="I229" s="1360"/>
      <c r="J229" s="1360"/>
      <c r="K229" s="1360"/>
      <c r="L229" s="1360"/>
      <c r="M229" s="1360"/>
      <c r="N229" s="1360"/>
    </row>
    <row r="230" spans="1:14" hidden="1" x14ac:dyDescent="0.2">
      <c r="A230" s="1360"/>
      <c r="B230" s="1360"/>
      <c r="C230" s="1360"/>
      <c r="D230" s="1360"/>
      <c r="E230" s="1360"/>
      <c r="F230" s="1360"/>
      <c r="G230" s="1360"/>
      <c r="H230" s="1360"/>
      <c r="I230" s="1360"/>
      <c r="J230" s="1360"/>
      <c r="K230" s="1360"/>
      <c r="L230" s="1360"/>
      <c r="M230" s="1360"/>
      <c r="N230" s="1360"/>
    </row>
    <row r="231" spans="1:14" hidden="1" x14ac:dyDescent="0.2">
      <c r="A231" s="1360"/>
      <c r="B231" s="1360"/>
      <c r="C231" s="1360"/>
      <c r="D231" s="1360"/>
      <c r="E231" s="1360"/>
      <c r="F231" s="1360"/>
      <c r="G231" s="1360"/>
      <c r="H231" s="1360"/>
      <c r="I231" s="1360"/>
      <c r="J231" s="1360"/>
      <c r="K231" s="1360"/>
      <c r="L231" s="1360"/>
      <c r="M231" s="1360"/>
      <c r="N231" s="1360"/>
    </row>
    <row r="232" spans="1:14" hidden="1" x14ac:dyDescent="0.2">
      <c r="A232" s="1360"/>
      <c r="B232" s="1360"/>
      <c r="C232" s="1360"/>
      <c r="D232" s="1360"/>
      <c r="E232" s="1360"/>
      <c r="F232" s="1360"/>
      <c r="G232" s="1360"/>
      <c r="H232" s="1360"/>
      <c r="I232" s="1360"/>
      <c r="J232" s="1360"/>
      <c r="K232" s="1360"/>
      <c r="L232" s="1360"/>
      <c r="M232" s="1360"/>
      <c r="N232" s="1360"/>
    </row>
    <row r="233" spans="1:14" hidden="1" x14ac:dyDescent="0.2">
      <c r="A233" s="1360"/>
      <c r="B233" s="1360"/>
      <c r="C233" s="1360"/>
      <c r="D233" s="1360"/>
      <c r="E233" s="1360"/>
      <c r="F233" s="1360"/>
      <c r="G233" s="1360"/>
      <c r="H233" s="1360"/>
      <c r="I233" s="1360"/>
      <c r="J233" s="1360"/>
      <c r="K233" s="1360"/>
      <c r="L233" s="1360"/>
      <c r="M233" s="1360"/>
      <c r="N233" s="1360"/>
    </row>
    <row r="234" spans="1:14" hidden="1" x14ac:dyDescent="0.2">
      <c r="A234" s="1360"/>
      <c r="B234" s="1360"/>
      <c r="C234" s="1360"/>
      <c r="D234" s="1360"/>
      <c r="E234" s="1360"/>
      <c r="F234" s="1360"/>
      <c r="G234" s="1360"/>
      <c r="H234" s="1360"/>
      <c r="I234" s="1360"/>
      <c r="J234" s="1360"/>
      <c r="K234" s="1360"/>
      <c r="L234" s="1360"/>
      <c r="M234" s="1360"/>
      <c r="N234" s="1360"/>
    </row>
    <row r="235" spans="1:14" hidden="1" x14ac:dyDescent="0.2">
      <c r="A235" s="1360"/>
      <c r="B235" s="1360"/>
      <c r="C235" s="1360"/>
      <c r="D235" s="1360"/>
      <c r="E235" s="1360"/>
      <c r="F235" s="1360"/>
      <c r="G235" s="1360"/>
      <c r="H235" s="1360"/>
      <c r="I235" s="1360"/>
      <c r="J235" s="1360"/>
      <c r="K235" s="1360"/>
      <c r="L235" s="1360"/>
      <c r="M235" s="1360"/>
      <c r="N235" s="1360"/>
    </row>
    <row r="236" spans="1:14" hidden="1" x14ac:dyDescent="0.2">
      <c r="A236" s="1360"/>
      <c r="B236" s="1360"/>
      <c r="C236" s="1360"/>
      <c r="D236" s="1360"/>
      <c r="E236" s="1360"/>
      <c r="F236" s="1360"/>
      <c r="G236" s="1360"/>
      <c r="H236" s="1360"/>
      <c r="I236" s="1360"/>
      <c r="J236" s="1360"/>
      <c r="K236" s="1360"/>
      <c r="L236" s="1360"/>
      <c r="M236" s="1360"/>
      <c r="N236" s="1360"/>
    </row>
    <row r="237" spans="1:14" hidden="1" x14ac:dyDescent="0.2">
      <c r="A237" s="1360"/>
      <c r="B237" s="1360"/>
      <c r="C237" s="1360"/>
      <c r="D237" s="1360"/>
      <c r="E237" s="1360"/>
      <c r="F237" s="1360"/>
      <c r="G237" s="1360"/>
      <c r="H237" s="1360"/>
      <c r="I237" s="1360"/>
      <c r="J237" s="1360"/>
      <c r="K237" s="1360"/>
      <c r="L237" s="1360"/>
      <c r="M237" s="1360"/>
      <c r="N237" s="1360"/>
    </row>
    <row r="238" spans="1:14" hidden="1" x14ac:dyDescent="0.2">
      <c r="A238" s="1360"/>
      <c r="B238" s="1360"/>
      <c r="C238" s="1360"/>
      <c r="D238" s="1360"/>
      <c r="E238" s="1360"/>
      <c r="F238" s="1360"/>
      <c r="G238" s="1360"/>
      <c r="H238" s="1360"/>
      <c r="I238" s="1360"/>
      <c r="J238" s="1360"/>
      <c r="K238" s="1360"/>
      <c r="L238" s="1360"/>
      <c r="M238" s="1360"/>
      <c r="N238" s="1360"/>
    </row>
    <row r="239" spans="1:14" hidden="1" x14ac:dyDescent="0.2">
      <c r="A239" s="1360"/>
      <c r="B239" s="1360"/>
      <c r="C239" s="1360"/>
      <c r="D239" s="1360"/>
      <c r="E239" s="1360"/>
      <c r="F239" s="1360"/>
      <c r="G239" s="1360"/>
      <c r="H239" s="1360"/>
      <c r="I239" s="1360"/>
      <c r="J239" s="1360"/>
      <c r="K239" s="1360"/>
      <c r="L239" s="1360"/>
      <c r="M239" s="1360"/>
      <c r="N239" s="1360"/>
    </row>
    <row r="240" spans="1:14" hidden="1" x14ac:dyDescent="0.2">
      <c r="A240" s="1360"/>
      <c r="B240" s="1360"/>
      <c r="C240" s="1360"/>
      <c r="D240" s="1360"/>
      <c r="E240" s="1360"/>
      <c r="F240" s="1360"/>
      <c r="G240" s="1360"/>
      <c r="H240" s="1360"/>
      <c r="I240" s="1360"/>
      <c r="J240" s="1360"/>
      <c r="K240" s="1360"/>
      <c r="L240" s="1360"/>
      <c r="M240" s="1360"/>
      <c r="N240" s="1360"/>
    </row>
    <row r="241" spans="1:14" hidden="1" x14ac:dyDescent="0.2">
      <c r="A241" s="1360"/>
      <c r="B241" s="1360"/>
      <c r="C241" s="1360"/>
      <c r="D241" s="1360"/>
      <c r="E241" s="1360"/>
      <c r="F241" s="1360"/>
      <c r="G241" s="1360"/>
      <c r="H241" s="1360"/>
      <c r="I241" s="1360"/>
      <c r="J241" s="1360"/>
      <c r="K241" s="1360"/>
      <c r="L241" s="1360"/>
      <c r="M241" s="1360"/>
      <c r="N241" s="1360"/>
    </row>
    <row r="242" spans="1:14" hidden="1" x14ac:dyDescent="0.2">
      <c r="A242" s="1360"/>
      <c r="B242" s="1360"/>
      <c r="C242" s="1360"/>
      <c r="D242" s="1360"/>
      <c r="E242" s="1360"/>
      <c r="F242" s="1360"/>
      <c r="G242" s="1360"/>
      <c r="H242" s="1360"/>
      <c r="I242" s="1360"/>
      <c r="J242" s="1360"/>
      <c r="K242" s="1360"/>
      <c r="L242" s="1360"/>
      <c r="M242" s="1360"/>
      <c r="N242" s="1360"/>
    </row>
    <row r="243" spans="1:14" hidden="1" x14ac:dyDescent="0.2">
      <c r="A243" s="1360"/>
      <c r="B243" s="1360"/>
      <c r="C243" s="1360"/>
      <c r="D243" s="1360"/>
      <c r="E243" s="1360"/>
      <c r="F243" s="1360"/>
      <c r="G243" s="1360"/>
      <c r="H243" s="1360"/>
      <c r="I243" s="1360"/>
      <c r="J243" s="1360"/>
      <c r="K243" s="1360"/>
      <c r="L243" s="1360"/>
      <c r="M243" s="1360"/>
      <c r="N243" s="1360"/>
    </row>
    <row r="244" spans="1:14" hidden="1" x14ac:dyDescent="0.2">
      <c r="A244" s="1360"/>
      <c r="B244" s="1360"/>
      <c r="C244" s="1360"/>
      <c r="D244" s="1360"/>
      <c r="E244" s="1360"/>
      <c r="F244" s="1360"/>
      <c r="G244" s="1360"/>
      <c r="H244" s="1360"/>
      <c r="I244" s="1360"/>
      <c r="J244" s="1360"/>
      <c r="K244" s="1360"/>
      <c r="L244" s="1360"/>
      <c r="M244" s="1360"/>
      <c r="N244" s="1360"/>
    </row>
    <row r="245" spans="1:14" hidden="1" x14ac:dyDescent="0.2">
      <c r="A245" s="1360"/>
      <c r="B245" s="1360"/>
      <c r="C245" s="1360"/>
      <c r="D245" s="1360"/>
      <c r="E245" s="1360"/>
      <c r="F245" s="1360"/>
      <c r="G245" s="1360"/>
      <c r="H245" s="1360"/>
      <c r="I245" s="1360"/>
      <c r="J245" s="1360"/>
      <c r="K245" s="1360"/>
      <c r="L245" s="1360"/>
      <c r="M245" s="1360"/>
      <c r="N245" s="1360"/>
    </row>
    <row r="246" spans="1:14" hidden="1" x14ac:dyDescent="0.2">
      <c r="A246" s="1360"/>
      <c r="B246" s="1360"/>
      <c r="C246" s="1360"/>
      <c r="D246" s="1360"/>
      <c r="E246" s="1360"/>
      <c r="F246" s="1360"/>
      <c r="G246" s="1360"/>
      <c r="H246" s="1360"/>
      <c r="I246" s="1360"/>
      <c r="J246" s="1360"/>
      <c r="K246" s="1360"/>
      <c r="L246" s="1360"/>
      <c r="M246" s="1360"/>
      <c r="N246" s="1360"/>
    </row>
    <row r="247" spans="1:14" hidden="1" x14ac:dyDescent="0.2">
      <c r="A247" s="1360"/>
      <c r="B247" s="1360"/>
      <c r="C247" s="1360"/>
      <c r="D247" s="1360"/>
      <c r="E247" s="1360"/>
      <c r="F247" s="1360"/>
      <c r="G247" s="1360"/>
      <c r="H247" s="1360"/>
      <c r="I247" s="1360"/>
      <c r="J247" s="1360"/>
      <c r="K247" s="1360"/>
      <c r="L247" s="1360"/>
      <c r="M247" s="1360"/>
      <c r="N247" s="1360"/>
    </row>
    <row r="248" spans="1:14" hidden="1" x14ac:dyDescent="0.2">
      <c r="A248" s="1360"/>
      <c r="B248" s="1360"/>
      <c r="C248" s="1360"/>
      <c r="D248" s="1360"/>
      <c r="E248" s="1360"/>
      <c r="F248" s="1360"/>
      <c r="G248" s="1360"/>
      <c r="H248" s="1360"/>
      <c r="I248" s="1360"/>
      <c r="J248" s="1360"/>
      <c r="K248" s="1360"/>
      <c r="L248" s="1360"/>
      <c r="M248" s="1360"/>
      <c r="N248" s="1360"/>
    </row>
    <row r="249" spans="1:14" hidden="1" x14ac:dyDescent="0.2">
      <c r="A249" s="1360"/>
      <c r="B249" s="1360"/>
      <c r="C249" s="1360"/>
      <c r="D249" s="1360"/>
      <c r="E249" s="1360"/>
      <c r="F249" s="1360"/>
      <c r="G249" s="1360"/>
      <c r="H249" s="1360"/>
      <c r="I249" s="1360"/>
      <c r="J249" s="1360"/>
      <c r="K249" s="1360"/>
      <c r="L249" s="1360"/>
      <c r="M249" s="1360"/>
      <c r="N249" s="1360"/>
    </row>
    <row r="250" spans="1:14" hidden="1" x14ac:dyDescent="0.2">
      <c r="A250" s="1360"/>
      <c r="B250" s="1360"/>
      <c r="C250" s="1360"/>
      <c r="D250" s="1360"/>
      <c r="E250" s="1360"/>
      <c r="F250" s="1360"/>
      <c r="G250" s="1360"/>
      <c r="H250" s="1360"/>
      <c r="I250" s="1360"/>
      <c r="J250" s="1360"/>
      <c r="K250" s="1360"/>
      <c r="L250" s="1360"/>
      <c r="M250" s="1360"/>
      <c r="N250" s="1360"/>
    </row>
    <row r="251" spans="1:14" hidden="1" x14ac:dyDescent="0.2">
      <c r="A251" s="1360"/>
      <c r="B251" s="1360"/>
      <c r="C251" s="1360"/>
      <c r="D251" s="1360"/>
      <c r="E251" s="1360"/>
      <c r="F251" s="1360"/>
      <c r="G251" s="1360"/>
      <c r="H251" s="1360"/>
      <c r="I251" s="1360"/>
      <c r="J251" s="1360"/>
      <c r="K251" s="1360"/>
      <c r="L251" s="1360"/>
      <c r="M251" s="1360"/>
      <c r="N251" s="1360"/>
    </row>
    <row r="252" spans="1:14" hidden="1" x14ac:dyDescent="0.2">
      <c r="A252" s="1360"/>
      <c r="B252" s="1360"/>
      <c r="C252" s="1360"/>
      <c r="D252" s="1360"/>
      <c r="E252" s="1360"/>
      <c r="F252" s="1360"/>
      <c r="G252" s="1360"/>
      <c r="H252" s="1360"/>
      <c r="I252" s="1360"/>
      <c r="J252" s="1360"/>
      <c r="K252" s="1360"/>
      <c r="L252" s="1360"/>
      <c r="M252" s="1360"/>
      <c r="N252" s="1360"/>
    </row>
    <row r="253" spans="1:14" hidden="1" x14ac:dyDescent="0.2">
      <c r="A253" s="1360"/>
      <c r="B253" s="1360"/>
      <c r="C253" s="1360"/>
      <c r="D253" s="1360"/>
      <c r="E253" s="1360"/>
      <c r="F253" s="1360"/>
      <c r="G253" s="1360"/>
      <c r="H253" s="1360"/>
      <c r="I253" s="1360"/>
      <c r="J253" s="1360"/>
      <c r="K253" s="1360"/>
      <c r="L253" s="1360"/>
      <c r="M253" s="1360"/>
      <c r="N253" s="1360"/>
    </row>
    <row r="254" spans="1:14" hidden="1" x14ac:dyDescent="0.2">
      <c r="A254" s="1360"/>
      <c r="B254" s="1360"/>
      <c r="C254" s="1360"/>
      <c r="D254" s="1360"/>
      <c r="E254" s="1360"/>
      <c r="F254" s="1360"/>
      <c r="G254" s="1360"/>
      <c r="H254" s="1360"/>
      <c r="I254" s="1360"/>
      <c r="J254" s="1360"/>
      <c r="K254" s="1360"/>
      <c r="L254" s="1360"/>
      <c r="M254" s="1360"/>
      <c r="N254" s="1360"/>
    </row>
    <row r="255" spans="1:14" hidden="1" x14ac:dyDescent="0.2">
      <c r="A255" s="1360"/>
      <c r="B255" s="1360"/>
      <c r="C255" s="1360"/>
      <c r="D255" s="1360"/>
      <c r="E255" s="1360"/>
      <c r="F255" s="1360"/>
      <c r="G255" s="1360"/>
      <c r="H255" s="1360"/>
      <c r="I255" s="1360"/>
      <c r="J255" s="1360"/>
      <c r="K255" s="1360"/>
      <c r="L255" s="1360"/>
      <c r="M255" s="1360"/>
      <c r="N255" s="1360"/>
    </row>
    <row r="256" spans="1:14" hidden="1" x14ac:dyDescent="0.2">
      <c r="A256" s="1360"/>
      <c r="B256" s="1360"/>
      <c r="C256" s="1360"/>
      <c r="D256" s="1360"/>
      <c r="E256" s="1360"/>
      <c r="F256" s="1360"/>
      <c r="G256" s="1360"/>
      <c r="H256" s="1360"/>
      <c r="I256" s="1360"/>
      <c r="J256" s="1360"/>
      <c r="K256" s="1360"/>
      <c r="L256" s="1360"/>
      <c r="M256" s="1360"/>
      <c r="N256" s="1360"/>
    </row>
    <row r="257" spans="1:14" hidden="1" x14ac:dyDescent="0.2">
      <c r="A257" s="1360"/>
      <c r="B257" s="1360"/>
      <c r="C257" s="1360"/>
      <c r="D257" s="1360"/>
      <c r="E257" s="1360"/>
      <c r="F257" s="1360"/>
      <c r="G257" s="1360"/>
      <c r="H257" s="1360"/>
      <c r="I257" s="1360"/>
      <c r="J257" s="1360"/>
      <c r="K257" s="1360"/>
      <c r="L257" s="1360"/>
      <c r="M257" s="1360"/>
      <c r="N257" s="1360"/>
    </row>
    <row r="258" spans="1:14" hidden="1" x14ac:dyDescent="0.2">
      <c r="A258" s="1360"/>
      <c r="B258" s="1360"/>
      <c r="C258" s="1360"/>
      <c r="D258" s="1360"/>
      <c r="E258" s="1360"/>
      <c r="F258" s="1360"/>
      <c r="G258" s="1360"/>
      <c r="H258" s="1360"/>
      <c r="I258" s="1360"/>
      <c r="J258" s="1360"/>
      <c r="K258" s="1360"/>
      <c r="L258" s="1360"/>
      <c r="M258" s="1360"/>
      <c r="N258" s="1360"/>
    </row>
    <row r="259" spans="1:14" hidden="1" x14ac:dyDescent="0.2">
      <c r="A259" s="1360"/>
      <c r="B259" s="1360"/>
      <c r="C259" s="1360"/>
      <c r="D259" s="1360"/>
      <c r="E259" s="1360"/>
      <c r="F259" s="1360"/>
      <c r="G259" s="1360"/>
      <c r="H259" s="1360"/>
      <c r="I259" s="1360"/>
      <c r="J259" s="1360"/>
      <c r="K259" s="1360"/>
      <c r="L259" s="1360"/>
      <c r="M259" s="1360"/>
      <c r="N259" s="1360"/>
    </row>
    <row r="260" spans="1:14" hidden="1" x14ac:dyDescent="0.2">
      <c r="A260" s="1360"/>
      <c r="B260" s="1360"/>
      <c r="C260" s="1360"/>
      <c r="D260" s="1360"/>
      <c r="E260" s="1360"/>
      <c r="F260" s="1360"/>
      <c r="G260" s="1360"/>
      <c r="H260" s="1360"/>
      <c r="I260" s="1360"/>
      <c r="J260" s="1360"/>
      <c r="K260" s="1360"/>
      <c r="L260" s="1360"/>
      <c r="M260" s="1360"/>
      <c r="N260" s="1360"/>
    </row>
    <row r="261" spans="1:14" hidden="1" x14ac:dyDescent="0.2">
      <c r="A261" s="1360"/>
      <c r="B261" s="1360"/>
      <c r="C261" s="1360"/>
      <c r="D261" s="1360"/>
      <c r="E261" s="1360"/>
      <c r="F261" s="1360"/>
      <c r="G261" s="1360"/>
      <c r="H261" s="1360"/>
      <c r="I261" s="1360"/>
      <c r="J261" s="1360"/>
      <c r="K261" s="1360"/>
      <c r="L261" s="1360"/>
      <c r="M261" s="1360"/>
      <c r="N261" s="1360"/>
    </row>
    <row r="262" spans="1:14" hidden="1" x14ac:dyDescent="0.2">
      <c r="A262" s="1360"/>
      <c r="B262" s="1360"/>
      <c r="C262" s="1360"/>
      <c r="D262" s="1360"/>
      <c r="E262" s="1360"/>
      <c r="F262" s="1360"/>
      <c r="G262" s="1360"/>
      <c r="H262" s="1360"/>
      <c r="I262" s="1360"/>
      <c r="J262" s="1360"/>
      <c r="K262" s="1360"/>
      <c r="L262" s="1360"/>
      <c r="M262" s="1360"/>
      <c r="N262" s="1360"/>
    </row>
    <row r="263" spans="1:14" hidden="1" x14ac:dyDescent="0.2">
      <c r="A263" s="1360"/>
      <c r="B263" s="1360"/>
      <c r="C263" s="1360"/>
      <c r="D263" s="1360"/>
      <c r="E263" s="1360"/>
      <c r="F263" s="1360"/>
      <c r="G263" s="1360"/>
      <c r="H263" s="1360"/>
      <c r="I263" s="1360"/>
      <c r="J263" s="1360"/>
      <c r="K263" s="1360"/>
      <c r="L263" s="1360"/>
      <c r="M263" s="1360"/>
      <c r="N263" s="1360"/>
    </row>
    <row r="264" spans="1:14" hidden="1" x14ac:dyDescent="0.2">
      <c r="A264" s="1360"/>
      <c r="B264" s="1360"/>
      <c r="C264" s="1360"/>
      <c r="D264" s="1360"/>
      <c r="E264" s="1360"/>
      <c r="F264" s="1360"/>
      <c r="G264" s="1360"/>
      <c r="H264" s="1360"/>
      <c r="I264" s="1360"/>
      <c r="J264" s="1360"/>
      <c r="K264" s="1360"/>
      <c r="L264" s="1360"/>
      <c r="M264" s="1360"/>
      <c r="N264" s="1360"/>
    </row>
    <row r="265" spans="1:14" hidden="1" x14ac:dyDescent="0.2">
      <c r="A265" s="1360"/>
      <c r="B265" s="1360"/>
      <c r="C265" s="1360"/>
      <c r="D265" s="1360"/>
      <c r="E265" s="1360"/>
      <c r="F265" s="1360"/>
      <c r="G265" s="1360"/>
      <c r="H265" s="1360"/>
      <c r="I265" s="1360"/>
      <c r="J265" s="1360"/>
      <c r="K265" s="1360"/>
      <c r="L265" s="1360"/>
      <c r="M265" s="1360"/>
      <c r="N265" s="1360"/>
    </row>
    <row r="266" spans="1:14" hidden="1" x14ac:dyDescent="0.2">
      <c r="A266" s="1360"/>
      <c r="B266" s="1360"/>
      <c r="C266" s="1360"/>
      <c r="D266" s="1360"/>
      <c r="E266" s="1360"/>
      <c r="F266" s="1360"/>
      <c r="G266" s="1360"/>
      <c r="H266" s="1360"/>
      <c r="I266" s="1360"/>
      <c r="J266" s="1360"/>
      <c r="K266" s="1360"/>
      <c r="L266" s="1360"/>
      <c r="M266" s="1360"/>
      <c r="N266" s="1360"/>
    </row>
    <row r="267" spans="1:14" hidden="1" x14ac:dyDescent="0.2">
      <c r="A267" s="1360"/>
      <c r="B267" s="1360"/>
      <c r="C267" s="1360"/>
      <c r="D267" s="1360"/>
      <c r="E267" s="1360"/>
      <c r="F267" s="1360"/>
      <c r="G267" s="1360"/>
      <c r="H267" s="1360"/>
      <c r="I267" s="1360"/>
      <c r="J267" s="1360"/>
      <c r="K267" s="1360"/>
      <c r="L267" s="1360"/>
      <c r="M267" s="1360"/>
      <c r="N267" s="1360"/>
    </row>
    <row r="268" spans="1:14" hidden="1" x14ac:dyDescent="0.2">
      <c r="A268" s="1360"/>
      <c r="B268" s="1360"/>
      <c r="C268" s="1360"/>
      <c r="D268" s="1360"/>
      <c r="E268" s="1360"/>
      <c r="F268" s="1360"/>
      <c r="G268" s="1360"/>
      <c r="H268" s="1360"/>
      <c r="I268" s="1360"/>
      <c r="J268" s="1360"/>
      <c r="K268" s="1360"/>
      <c r="L268" s="1360"/>
      <c r="M268" s="1360"/>
      <c r="N268" s="1360"/>
    </row>
    <row r="269" spans="1:14" hidden="1" x14ac:dyDescent="0.2">
      <c r="A269" s="1360"/>
      <c r="B269" s="1360"/>
      <c r="C269" s="1360"/>
      <c r="D269" s="1360"/>
      <c r="E269" s="1360"/>
      <c r="F269" s="1360"/>
      <c r="G269" s="1360"/>
      <c r="H269" s="1360"/>
      <c r="I269" s="1360"/>
      <c r="J269" s="1360"/>
      <c r="K269" s="1360"/>
      <c r="L269" s="1360"/>
      <c r="M269" s="1360"/>
      <c r="N269" s="1360"/>
    </row>
    <row r="270" spans="1:14" hidden="1" x14ac:dyDescent="0.2">
      <c r="A270" s="1360"/>
      <c r="B270" s="1360"/>
      <c r="C270" s="1360"/>
      <c r="D270" s="1360"/>
      <c r="E270" s="1360"/>
      <c r="F270" s="1360"/>
      <c r="G270" s="1360"/>
      <c r="H270" s="1360"/>
      <c r="I270" s="1360"/>
      <c r="J270" s="1360"/>
      <c r="K270" s="1360"/>
      <c r="L270" s="1360"/>
      <c r="M270" s="1360"/>
      <c r="N270" s="1360"/>
    </row>
    <row r="271" spans="1:14" hidden="1" x14ac:dyDescent="0.2">
      <c r="A271" s="1360"/>
      <c r="B271" s="1360"/>
      <c r="C271" s="1360"/>
      <c r="D271" s="1360"/>
      <c r="E271" s="1360"/>
      <c r="F271" s="1360"/>
      <c r="G271" s="1360"/>
      <c r="H271" s="1360"/>
      <c r="I271" s="1360"/>
      <c r="J271" s="1360"/>
      <c r="K271" s="1360"/>
      <c r="L271" s="1360"/>
      <c r="M271" s="1360"/>
      <c r="N271" s="1360"/>
    </row>
    <row r="272" spans="1:14" hidden="1" x14ac:dyDescent="0.2">
      <c r="A272" s="1360"/>
      <c r="B272" s="1360"/>
      <c r="C272" s="1360"/>
      <c r="D272" s="1360"/>
      <c r="E272" s="1360"/>
      <c r="F272" s="1360"/>
      <c r="G272" s="1360"/>
      <c r="H272" s="1360"/>
      <c r="I272" s="1360"/>
      <c r="J272" s="1360"/>
      <c r="K272" s="1360"/>
      <c r="L272" s="1360"/>
      <c r="M272" s="1360"/>
      <c r="N272" s="1360"/>
    </row>
    <row r="273" spans="1:14" hidden="1" x14ac:dyDescent="0.2">
      <c r="A273" s="1360"/>
      <c r="B273" s="1360"/>
      <c r="C273" s="1360"/>
      <c r="D273" s="1360"/>
      <c r="E273" s="1360"/>
      <c r="F273" s="1360"/>
      <c r="G273" s="1360"/>
      <c r="H273" s="1360"/>
      <c r="I273" s="1360"/>
      <c r="J273" s="1360"/>
      <c r="K273" s="1360"/>
      <c r="L273" s="1360"/>
      <c r="M273" s="1360"/>
      <c r="N273" s="1360"/>
    </row>
    <row r="274" spans="1:14" hidden="1" x14ac:dyDescent="0.2">
      <c r="A274" s="1360"/>
      <c r="B274" s="1360"/>
      <c r="C274" s="1360"/>
      <c r="D274" s="1360"/>
      <c r="E274" s="1360"/>
      <c r="F274" s="1360"/>
      <c r="G274" s="1360"/>
      <c r="H274" s="1360"/>
      <c r="I274" s="1360"/>
      <c r="J274" s="1360"/>
      <c r="K274" s="1360"/>
      <c r="L274" s="1360"/>
      <c r="M274" s="1360"/>
      <c r="N274" s="1360"/>
    </row>
    <row r="275" spans="1:14" hidden="1" x14ac:dyDescent="0.2">
      <c r="A275" s="1360"/>
      <c r="B275" s="1360"/>
      <c r="C275" s="1360"/>
      <c r="D275" s="1360"/>
      <c r="E275" s="1360"/>
      <c r="F275" s="1360"/>
      <c r="G275" s="1360"/>
      <c r="H275" s="1360"/>
      <c r="I275" s="1360"/>
      <c r="J275" s="1360"/>
      <c r="K275" s="1360"/>
      <c r="L275" s="1360"/>
      <c r="M275" s="1360"/>
      <c r="N275" s="1360"/>
    </row>
    <row r="276" spans="1:14" hidden="1" x14ac:dyDescent="0.2">
      <c r="A276" s="1360"/>
      <c r="B276" s="1360"/>
      <c r="C276" s="1360"/>
      <c r="D276" s="1360"/>
      <c r="E276" s="1360"/>
      <c r="F276" s="1360"/>
      <c r="G276" s="1360"/>
      <c r="H276" s="1360"/>
      <c r="I276" s="1360"/>
      <c r="J276" s="1360"/>
      <c r="K276" s="1360"/>
      <c r="L276" s="1360"/>
      <c r="M276" s="1360"/>
      <c r="N276" s="1360"/>
    </row>
    <row r="277" spans="1:14" hidden="1" x14ac:dyDescent="0.2">
      <c r="A277" s="1360"/>
      <c r="B277" s="1360"/>
      <c r="C277" s="1360"/>
      <c r="D277" s="1360"/>
      <c r="E277" s="1360"/>
      <c r="F277" s="1360"/>
      <c r="G277" s="1360"/>
      <c r="H277" s="1360"/>
      <c r="I277" s="1360"/>
      <c r="J277" s="1360"/>
      <c r="K277" s="1360"/>
      <c r="L277" s="1360"/>
      <c r="M277" s="1360"/>
      <c r="N277" s="1360"/>
    </row>
    <row r="278" spans="1:14" hidden="1" x14ac:dyDescent="0.2">
      <c r="A278" s="1360"/>
      <c r="B278" s="1360"/>
      <c r="C278" s="1360"/>
      <c r="D278" s="1360"/>
      <c r="E278" s="1360"/>
      <c r="F278" s="1360"/>
      <c r="G278" s="1360"/>
      <c r="H278" s="1360"/>
      <c r="I278" s="1360"/>
      <c r="J278" s="1360"/>
      <c r="K278" s="1360"/>
      <c r="L278" s="1360"/>
      <c r="M278" s="1360"/>
      <c r="N278" s="1360"/>
    </row>
    <row r="279" spans="1:14" hidden="1" x14ac:dyDescent="0.2">
      <c r="A279" s="1360"/>
      <c r="B279" s="1360"/>
      <c r="C279" s="1360"/>
      <c r="D279" s="1360"/>
      <c r="E279" s="1360"/>
      <c r="F279" s="1360"/>
      <c r="G279" s="1360"/>
      <c r="H279" s="1360"/>
      <c r="I279" s="1360"/>
      <c r="J279" s="1360"/>
      <c r="K279" s="1360"/>
      <c r="L279" s="1360"/>
      <c r="M279" s="1360"/>
      <c r="N279" s="1360"/>
    </row>
    <row r="280" spans="1:14" hidden="1" x14ac:dyDescent="0.2">
      <c r="A280" s="1360"/>
      <c r="B280" s="1360"/>
      <c r="C280" s="1360"/>
      <c r="D280" s="1360"/>
      <c r="E280" s="1360"/>
      <c r="F280" s="1360"/>
      <c r="G280" s="1360"/>
      <c r="H280" s="1360"/>
      <c r="I280" s="1360"/>
      <c r="J280" s="1360"/>
      <c r="K280" s="1360"/>
      <c r="L280" s="1360"/>
      <c r="M280" s="1360"/>
      <c r="N280" s="1360"/>
    </row>
    <row r="281" spans="1:14" hidden="1" x14ac:dyDescent="0.2">
      <c r="A281" s="1360"/>
      <c r="B281" s="1360"/>
      <c r="C281" s="1360"/>
      <c r="D281" s="1360"/>
      <c r="E281" s="1360"/>
      <c r="F281" s="1360"/>
      <c r="G281" s="1360"/>
      <c r="H281" s="1360"/>
      <c r="I281" s="1360"/>
      <c r="J281" s="1360"/>
      <c r="K281" s="1360"/>
      <c r="L281" s="1360"/>
      <c r="M281" s="1360"/>
      <c r="N281" s="1360"/>
    </row>
    <row r="282" spans="1:14" hidden="1" x14ac:dyDescent="0.2">
      <c r="A282" s="1360"/>
      <c r="B282" s="1360"/>
      <c r="C282" s="1360"/>
      <c r="D282" s="1360"/>
      <c r="E282" s="1360"/>
      <c r="F282" s="1360"/>
      <c r="G282" s="1360"/>
      <c r="H282" s="1360"/>
      <c r="I282" s="1360"/>
      <c r="J282" s="1360"/>
      <c r="K282" s="1360"/>
      <c r="L282" s="1360"/>
      <c r="M282" s="1360"/>
      <c r="N282" s="1360"/>
    </row>
    <row r="283" spans="1:14" hidden="1" x14ac:dyDescent="0.2">
      <c r="A283" s="1360"/>
      <c r="B283" s="1360"/>
      <c r="C283" s="1360"/>
      <c r="D283" s="1360"/>
      <c r="E283" s="1360"/>
      <c r="F283" s="1360"/>
      <c r="G283" s="1360"/>
      <c r="H283" s="1360"/>
      <c r="I283" s="1360"/>
      <c r="J283" s="1360"/>
      <c r="K283" s="1360"/>
      <c r="L283" s="1360"/>
      <c r="M283" s="1360"/>
      <c r="N283" s="1360"/>
    </row>
    <row r="284" spans="1:14" hidden="1" x14ac:dyDescent="0.2">
      <c r="A284" s="1360"/>
      <c r="B284" s="1360"/>
      <c r="C284" s="1360"/>
      <c r="D284" s="1360"/>
      <c r="E284" s="1360"/>
      <c r="F284" s="1360"/>
      <c r="G284" s="1360"/>
      <c r="H284" s="1360"/>
      <c r="I284" s="1360"/>
      <c r="J284" s="1360"/>
      <c r="K284" s="1360"/>
      <c r="L284" s="1360"/>
      <c r="M284" s="1360"/>
      <c r="N284" s="1360"/>
    </row>
    <row r="285" spans="1:14" hidden="1" x14ac:dyDescent="0.2">
      <c r="A285" s="1360"/>
      <c r="B285" s="1360"/>
      <c r="C285" s="1360"/>
      <c r="D285" s="1360"/>
      <c r="E285" s="1360"/>
      <c r="F285" s="1360"/>
      <c r="G285" s="1360"/>
      <c r="H285" s="1360"/>
      <c r="I285" s="1360"/>
      <c r="J285" s="1360"/>
      <c r="K285" s="1360"/>
      <c r="L285" s="1360"/>
      <c r="M285" s="1360"/>
      <c r="N285" s="1360"/>
    </row>
    <row r="286" spans="1:14" hidden="1" x14ac:dyDescent="0.2">
      <c r="A286" s="1360"/>
      <c r="B286" s="1360"/>
      <c r="C286" s="1360"/>
      <c r="D286" s="1360"/>
      <c r="E286" s="1360"/>
      <c r="F286" s="1360"/>
      <c r="G286" s="1360"/>
      <c r="H286" s="1360"/>
      <c r="I286" s="1360"/>
      <c r="J286" s="1360"/>
      <c r="K286" s="1360"/>
      <c r="L286" s="1360"/>
      <c r="M286" s="1360"/>
      <c r="N286" s="1360"/>
    </row>
    <row r="287" spans="1:14" hidden="1" x14ac:dyDescent="0.2">
      <c r="A287" s="1360"/>
      <c r="B287" s="1360"/>
      <c r="C287" s="1360"/>
      <c r="D287" s="1360"/>
      <c r="E287" s="1360"/>
      <c r="F287" s="1360"/>
      <c r="G287" s="1360"/>
      <c r="H287" s="1360"/>
      <c r="I287" s="1360"/>
      <c r="J287" s="1360"/>
      <c r="K287" s="1360"/>
      <c r="L287" s="1360"/>
      <c r="M287" s="1360"/>
      <c r="N287" s="1360"/>
    </row>
    <row r="288" spans="1:14" hidden="1" x14ac:dyDescent="0.2">
      <c r="A288" s="1360"/>
      <c r="B288" s="1360"/>
      <c r="C288" s="1360"/>
      <c r="D288" s="1360"/>
      <c r="E288" s="1360"/>
      <c r="F288" s="1360"/>
      <c r="G288" s="1360"/>
      <c r="H288" s="1360"/>
      <c r="I288" s="1360"/>
      <c r="J288" s="1360"/>
      <c r="K288" s="1360"/>
      <c r="L288" s="1360"/>
      <c r="M288" s="1360"/>
      <c r="N288" s="1360"/>
    </row>
    <row r="289" spans="1:15" hidden="1" x14ac:dyDescent="0.2">
      <c r="A289" s="1360"/>
      <c r="B289" s="1360"/>
      <c r="C289" s="1360"/>
      <c r="D289" s="1360"/>
      <c r="E289" s="1360"/>
      <c r="F289" s="1360"/>
      <c r="G289" s="1360"/>
      <c r="H289" s="1360"/>
      <c r="I289" s="1360"/>
      <c r="J289" s="1360"/>
      <c r="K289" s="1360"/>
      <c r="L289" s="1360"/>
      <c r="M289" s="1360"/>
      <c r="N289" s="1360"/>
    </row>
    <row r="290" spans="1:15" hidden="1" x14ac:dyDescent="0.2">
      <c r="A290" s="1360"/>
      <c r="B290" s="1360"/>
      <c r="C290" s="1360"/>
      <c r="D290" s="1360"/>
      <c r="E290" s="1360"/>
      <c r="F290" s="1360"/>
      <c r="G290" s="1360"/>
      <c r="H290" s="1360"/>
      <c r="I290" s="1360"/>
      <c r="J290" s="1360"/>
      <c r="K290" s="1360"/>
      <c r="L290" s="1360"/>
      <c r="M290" s="1360"/>
      <c r="N290" s="1360"/>
    </row>
    <row r="291" spans="1:15" hidden="1" x14ac:dyDescent="0.2">
      <c r="A291" s="1360"/>
      <c r="B291" s="1360"/>
      <c r="C291" s="1360"/>
      <c r="D291" s="1360"/>
      <c r="E291" s="1360"/>
      <c r="F291" s="1360"/>
      <c r="G291" s="1360"/>
      <c r="H291" s="1360"/>
      <c r="I291" s="1360"/>
      <c r="J291" s="1360"/>
      <c r="K291" s="1360"/>
      <c r="L291" s="1360"/>
      <c r="M291" s="1360"/>
      <c r="N291" s="1360"/>
    </row>
    <row r="292" spans="1:15" hidden="1" x14ac:dyDescent="0.2">
      <c r="A292" s="1360"/>
      <c r="B292" s="1360"/>
      <c r="C292" s="1360"/>
      <c r="D292" s="1360"/>
      <c r="E292" s="1360"/>
      <c r="F292" s="1360"/>
      <c r="G292" s="1360"/>
      <c r="H292" s="1360"/>
      <c r="I292" s="1360"/>
      <c r="J292" s="1360"/>
      <c r="K292" s="1360"/>
      <c r="L292" s="1360"/>
      <c r="M292" s="1360"/>
      <c r="N292" s="1360"/>
    </row>
    <row r="293" spans="1:15" hidden="1" x14ac:dyDescent="0.2">
      <c r="A293" s="1360"/>
      <c r="B293" s="1360"/>
      <c r="C293" s="1360"/>
      <c r="D293" s="1360"/>
      <c r="E293" s="1360"/>
      <c r="F293" s="1360"/>
      <c r="G293" s="1360"/>
      <c r="H293" s="1360"/>
      <c r="I293" s="1360"/>
      <c r="J293" s="1360"/>
      <c r="K293" s="1360"/>
      <c r="L293" s="1360"/>
      <c r="M293" s="1360"/>
      <c r="N293" s="1360"/>
    </row>
    <row r="294" spans="1:15" hidden="1" x14ac:dyDescent="0.2">
      <c r="A294" s="1360"/>
      <c r="B294" s="1360"/>
      <c r="C294" s="1360"/>
      <c r="D294" s="1360"/>
      <c r="E294" s="1360"/>
      <c r="F294" s="1360"/>
      <c r="G294" s="1360"/>
      <c r="H294" s="1360"/>
      <c r="I294" s="1360"/>
      <c r="J294" s="1360"/>
      <c r="K294" s="1360"/>
      <c r="L294" s="1360"/>
      <c r="M294" s="1360"/>
      <c r="N294" s="1360"/>
    </row>
    <row r="295" spans="1:15" hidden="1" x14ac:dyDescent="0.2">
      <c r="A295" s="1360"/>
      <c r="B295" s="1360"/>
      <c r="C295" s="1360"/>
      <c r="D295" s="1360"/>
      <c r="E295" s="1360"/>
      <c r="F295" s="1360"/>
      <c r="G295" s="1360"/>
      <c r="H295" s="1360"/>
      <c r="I295" s="1360"/>
      <c r="J295" s="1360"/>
      <c r="K295" s="1360"/>
      <c r="L295" s="1360"/>
      <c r="M295" s="1360"/>
      <c r="N295" s="1360"/>
    </row>
    <row r="296" spans="1:15" hidden="1" x14ac:dyDescent="0.2">
      <c r="A296" s="1360"/>
      <c r="B296" s="1360"/>
      <c r="C296" s="1360"/>
      <c r="D296" s="1360"/>
      <c r="E296" s="1360"/>
      <c r="F296" s="1360"/>
      <c r="G296" s="1360"/>
      <c r="H296" s="1360"/>
      <c r="I296" s="1360"/>
      <c r="J296" s="1360"/>
      <c r="K296" s="1360"/>
      <c r="L296" s="1360"/>
      <c r="M296" s="1360"/>
      <c r="N296" s="1360"/>
    </row>
    <row r="297" spans="1:15" hidden="1" x14ac:dyDescent="0.2">
      <c r="A297" s="1360"/>
      <c r="B297" s="1360"/>
      <c r="C297" s="1360"/>
      <c r="D297" s="1360"/>
      <c r="E297" s="1360"/>
      <c r="F297" s="1360"/>
      <c r="G297" s="1360"/>
      <c r="H297" s="1360"/>
      <c r="I297" s="1360"/>
      <c r="J297" s="1360"/>
      <c r="K297" s="1360"/>
      <c r="L297" s="1360"/>
      <c r="M297" s="1360"/>
      <c r="N297" s="1360"/>
    </row>
    <row r="298" spans="1:15" x14ac:dyDescent="0.2">
      <c r="A298" s="1360"/>
      <c r="B298" s="1360"/>
      <c r="C298" s="1360"/>
      <c r="D298" s="1360"/>
      <c r="E298" s="1360"/>
      <c r="F298" s="1360"/>
      <c r="G298" s="1360"/>
      <c r="H298" s="1360"/>
      <c r="I298" s="1360"/>
      <c r="J298" s="1360"/>
      <c r="K298" s="1360"/>
      <c r="L298" s="1360"/>
      <c r="M298" s="1360"/>
      <c r="N298" s="1360"/>
    </row>
    <row r="299" spans="1:15" x14ac:dyDescent="0.2">
      <c r="A299" s="277"/>
      <c r="B299" s="277"/>
      <c r="C299" s="1366" t="s">
        <v>190</v>
      </c>
      <c r="D299" s="617"/>
      <c r="E299" s="617"/>
    </row>
    <row r="300" spans="1:15" x14ac:dyDescent="0.2">
      <c r="A300" s="279">
        <v>1</v>
      </c>
      <c r="B300" s="1334" t="str">
        <f>IFERROR(INDEX(B$1:B$100,MATCH(A300,A$1:A$100,0)),"")</f>
        <v>Tõnu Kapper, Vladimir Ogneštšikov</v>
      </c>
      <c r="C300" s="55">
        <f>MAX(A300:A400)</f>
        <v>12</v>
      </c>
      <c r="D300" s="55"/>
      <c r="E300" s="55"/>
    </row>
    <row r="301" spans="1:15" x14ac:dyDescent="0.2">
      <c r="A301" s="279">
        <v>2</v>
      </c>
      <c r="B301" s="1334" t="str">
        <f t="shared" ref="B301:B311" si="11">IFERROR(INDEX(B$1:B$100,MATCH(A301,A$1:A$100,0)),"")</f>
        <v>Oksana Sažina, Oleg Rõndenkov</v>
      </c>
      <c r="C301" s="34">
        <f t="shared" ref="C301:C311" si="12">C300-1</f>
        <v>11</v>
      </c>
      <c r="D301" s="34"/>
      <c r="E301" s="34"/>
      <c r="O301" s="188"/>
    </row>
    <row r="302" spans="1:15" x14ac:dyDescent="0.2">
      <c r="A302" s="279">
        <v>3</v>
      </c>
      <c r="B302" s="1334" t="str">
        <f t="shared" si="11"/>
        <v>Jaan Sepp, Oskar Sepp</v>
      </c>
      <c r="C302" s="34">
        <f t="shared" si="12"/>
        <v>10</v>
      </c>
      <c r="D302" s="34"/>
      <c r="E302" s="34"/>
      <c r="O302" s="188"/>
    </row>
    <row r="303" spans="1:15" x14ac:dyDescent="0.2">
      <c r="A303" s="279">
        <v>4</v>
      </c>
      <c r="B303" s="1334" t="str">
        <f t="shared" si="11"/>
        <v>Karla Purgats, Lemmit Toomra</v>
      </c>
      <c r="C303" s="34">
        <f t="shared" si="12"/>
        <v>9</v>
      </c>
      <c r="D303" s="34"/>
      <c r="E303" s="34"/>
      <c r="O303" s="188"/>
    </row>
    <row r="304" spans="1:15" x14ac:dyDescent="0.2">
      <c r="A304" s="279">
        <v>5</v>
      </c>
      <c r="B304" s="1334" t="str">
        <f t="shared" si="11"/>
        <v>Kenneth Muusikus, Mait Metsla</v>
      </c>
      <c r="C304" s="34">
        <f t="shared" si="12"/>
        <v>8</v>
      </c>
      <c r="D304" s="34"/>
      <c r="E304" s="34"/>
      <c r="O304" s="188"/>
    </row>
    <row r="305" spans="1:15" x14ac:dyDescent="0.2">
      <c r="A305" s="279">
        <v>6</v>
      </c>
      <c r="B305" s="1334" t="str">
        <f t="shared" si="11"/>
        <v>Klavdia Piik, Ülo Piik</v>
      </c>
      <c r="C305" s="34">
        <f t="shared" si="12"/>
        <v>7</v>
      </c>
      <c r="D305" s="34"/>
      <c r="E305" s="34"/>
    </row>
    <row r="306" spans="1:15" x14ac:dyDescent="0.2">
      <c r="A306" s="279">
        <v>7</v>
      </c>
      <c r="B306" s="1334" t="str">
        <f t="shared" si="11"/>
        <v>Henri Mitt, Urmas Jõeäär</v>
      </c>
      <c r="C306" s="34">
        <f t="shared" si="12"/>
        <v>6</v>
      </c>
      <c r="D306" s="34"/>
      <c r="E306" s="34"/>
    </row>
    <row r="307" spans="1:15" x14ac:dyDescent="0.2">
      <c r="A307" s="279">
        <v>8</v>
      </c>
      <c r="B307" s="1334" t="str">
        <f t="shared" si="11"/>
        <v>Janek Tarto, Romek Tarto</v>
      </c>
      <c r="C307" s="34">
        <f t="shared" si="12"/>
        <v>5</v>
      </c>
      <c r="D307" s="34"/>
      <c r="E307" s="34"/>
      <c r="O307" s="188"/>
    </row>
    <row r="308" spans="1:15" x14ac:dyDescent="0.2">
      <c r="A308" s="279">
        <v>9</v>
      </c>
      <c r="B308" s="1334" t="str">
        <f t="shared" si="11"/>
        <v>Elmo Lageda, Tõnu Piik</v>
      </c>
      <c r="C308" s="34">
        <f t="shared" si="12"/>
        <v>4</v>
      </c>
      <c r="D308" s="34"/>
      <c r="E308" s="34"/>
      <c r="O308" s="188"/>
    </row>
    <row r="309" spans="1:15" x14ac:dyDescent="0.2">
      <c r="A309" s="279">
        <v>10</v>
      </c>
      <c r="B309" s="1334" t="str">
        <f t="shared" si="11"/>
        <v>Brigitta Neiland, Jaan Saar, Väino Aul</v>
      </c>
      <c r="C309" s="34">
        <f t="shared" si="12"/>
        <v>3</v>
      </c>
      <c r="D309" s="34"/>
      <c r="E309" s="34"/>
      <c r="O309" s="188"/>
    </row>
    <row r="310" spans="1:15" x14ac:dyDescent="0.2">
      <c r="A310" s="279">
        <v>11</v>
      </c>
      <c r="B310" s="1334" t="str">
        <f t="shared" si="11"/>
        <v>Meelis Luud, Urmas Randlaine</v>
      </c>
      <c r="C310" s="34">
        <f t="shared" si="12"/>
        <v>2</v>
      </c>
      <c r="D310" s="34"/>
      <c r="E310" s="34"/>
    </row>
    <row r="311" spans="1:15" x14ac:dyDescent="0.2">
      <c r="A311" s="279">
        <v>12</v>
      </c>
      <c r="B311" s="1334" t="str">
        <f t="shared" si="11"/>
        <v>Enn Tokman, Tarmo Bombe</v>
      </c>
      <c r="C311" s="34">
        <f t="shared" si="12"/>
        <v>1</v>
      </c>
      <c r="D311" s="34"/>
      <c r="E311" s="34"/>
    </row>
    <row r="313" spans="1:15" x14ac:dyDescent="0.2">
      <c r="O313" s="188"/>
    </row>
    <row r="317" spans="1:15" x14ac:dyDescent="0.2">
      <c r="O317" s="188"/>
    </row>
  </sheetData>
  <conditionalFormatting sqref="A300:A311">
    <cfRule type="duplicateValues" dxfId="935" priority="55"/>
  </conditionalFormatting>
  <conditionalFormatting sqref="AI8:AI19 AO8:AO19 AM8:AM19">
    <cfRule type="expression" dxfId="934" priority="54">
      <formula>AND(AJ8="",COUNTIF(AI8,"*,*")=0)</formula>
    </cfRule>
  </conditionalFormatting>
  <conditionalFormatting sqref="AK8:AK19">
    <cfRule type="expression" dxfId="933" priority="52">
      <formula>AND(AL8="",FIND(",",AK8))</formula>
    </cfRule>
    <cfRule type="expression" dxfId="932" priority="53">
      <formula>AND(AL8="",COUNTIF(AK8,"*,*")=0)</formula>
    </cfRule>
  </conditionalFormatting>
  <conditionalFormatting sqref="B301:B311">
    <cfRule type="containsBlanks" dxfId="931" priority="50">
      <formula>LEN(TRIM(B301))=0</formula>
    </cfRule>
    <cfRule type="duplicateValues" dxfId="930" priority="51"/>
  </conditionalFormatting>
  <conditionalFormatting sqref="B300:B311">
    <cfRule type="expression" dxfId="929" priority="45">
      <formula>A300=3</formula>
    </cfRule>
    <cfRule type="expression" dxfId="928" priority="46">
      <formula>A300=2</formula>
    </cfRule>
    <cfRule type="expression" dxfId="927" priority="47">
      <formula>A300=1</formula>
    </cfRule>
    <cfRule type="containsBlanks" dxfId="926" priority="48">
      <formula>LEN(TRIM(B300))=0</formula>
    </cfRule>
    <cfRule type="duplicateValues" dxfId="925" priority="49"/>
  </conditionalFormatting>
  <conditionalFormatting sqref="A8:A19">
    <cfRule type="duplicateValues" dxfId="924" priority="39"/>
  </conditionalFormatting>
  <conditionalFormatting sqref="C8:C19">
    <cfRule type="expression" dxfId="923" priority="21">
      <formula>IF($C8&gt;$E8,TRUE)</formula>
    </cfRule>
  </conditionalFormatting>
  <conditionalFormatting sqref="E8:E19">
    <cfRule type="expression" dxfId="922" priority="22">
      <formula>IF($C8&lt;$E8,TRUE)</formula>
    </cfRule>
  </conditionalFormatting>
  <conditionalFormatting sqref="K8:K19">
    <cfRule type="expression" dxfId="921" priority="29">
      <formula>IF($K8&gt;$M8,TRUE)</formula>
    </cfRule>
  </conditionalFormatting>
  <conditionalFormatting sqref="M8:M19">
    <cfRule type="expression" dxfId="920" priority="30">
      <formula>IF($K8&lt;$M8,TRUE)</formula>
    </cfRule>
  </conditionalFormatting>
  <conditionalFormatting sqref="O8:O19">
    <cfRule type="expression" dxfId="919" priority="33">
      <formula>IF($O8&gt;$Q8,TRUE)</formula>
    </cfRule>
  </conditionalFormatting>
  <conditionalFormatting sqref="Q8:Q19">
    <cfRule type="expression" dxfId="918" priority="34">
      <formula>IF($O8&lt;$Q8,TRUE)</formula>
    </cfRule>
  </conditionalFormatting>
  <conditionalFormatting sqref="S8:S19">
    <cfRule type="expression" dxfId="917" priority="37">
      <formula>IF($S8&gt;$U8,TRUE)</formula>
    </cfRule>
  </conditionalFormatting>
  <conditionalFormatting sqref="U8:U19">
    <cfRule type="expression" dxfId="916" priority="38">
      <formula>IF($S8&lt;$U8,TRUE)</formula>
    </cfRule>
  </conditionalFormatting>
  <conditionalFormatting sqref="G8:G19">
    <cfRule type="expression" dxfId="915" priority="25">
      <formula>IF($G8&gt;$I8,TRUE)</formula>
    </cfRule>
  </conditionalFormatting>
  <conditionalFormatting sqref="I8:I19">
    <cfRule type="expression" dxfId="914" priority="26">
      <formula>IF($G8&lt;$I8,TRUE)</formula>
    </cfRule>
  </conditionalFormatting>
  <conditionalFormatting sqref="F8:F19">
    <cfRule type="containsText" dxfId="913" priority="7" operator="containsText" text="vaba voor">
      <formula>NOT(ISERROR(SEARCH("vaba voor",F8)))</formula>
    </cfRule>
  </conditionalFormatting>
  <conditionalFormatting sqref="N8:N19">
    <cfRule type="containsText" dxfId="912" priority="5" operator="containsText" text="vaba voor">
      <formula>NOT(ISERROR(SEARCH("vaba voor",N8)))</formula>
    </cfRule>
  </conditionalFormatting>
  <conditionalFormatting sqref="R8:R19">
    <cfRule type="containsText" dxfId="911" priority="8" operator="containsText" text="vaba voor">
      <formula>NOT(ISERROR(SEARCH("vaba voor",R8)))</formula>
    </cfRule>
  </conditionalFormatting>
  <conditionalFormatting sqref="V8:V19">
    <cfRule type="containsText" dxfId="910" priority="4" operator="containsText" text="vaba voor">
      <formula>NOT(ISERROR(SEARCH("vaba voor",V8)))</formula>
    </cfRule>
  </conditionalFormatting>
  <conditionalFormatting sqref="Z8:Z19">
    <cfRule type="containsText" dxfId="909" priority="3" operator="containsText" text="vaba voor">
      <formula>NOT(ISERROR(SEARCH("vaba voor",Z8)))</formula>
    </cfRule>
  </conditionalFormatting>
  <conditionalFormatting sqref="W8:W19">
    <cfRule type="expression" dxfId="908" priority="12">
      <formula>IF($W8&gt;$Y8,TRUE)</formula>
    </cfRule>
  </conditionalFormatting>
  <conditionalFormatting sqref="Y8:Y19">
    <cfRule type="expression" dxfId="907" priority="13">
      <formula>IF($W8&lt;$Y8,TRUE)</formula>
    </cfRule>
  </conditionalFormatting>
  <conditionalFormatting sqref="J8:J19">
    <cfRule type="containsText" dxfId="906" priority="6" operator="containsText" text="vaba voor">
      <formula>NOT(ISERROR(SEARCH("vaba voor",J8)))</formula>
    </cfRule>
  </conditionalFormatting>
  <conditionalFormatting sqref="C8:F19">
    <cfRule type="expression" dxfId="905" priority="17">
      <formula>IF(AND(ISNUMBER($C8),$C8=$E8),TRUE)</formula>
    </cfRule>
    <cfRule type="expression" dxfId="904" priority="19">
      <formula>IF($C8&gt;$E8,TRUE)</formula>
    </cfRule>
    <cfRule type="expression" dxfId="903" priority="20">
      <formula>IF($C8&lt;$E8,TRUE)</formula>
    </cfRule>
  </conditionalFormatting>
  <conditionalFormatting sqref="G8:J19">
    <cfRule type="expression" dxfId="902" priority="18">
      <formula>IF(AND(ISNUMBER($G8),$G8=$I8),TRUE)</formula>
    </cfRule>
    <cfRule type="expression" dxfId="901" priority="23">
      <formula>IF($G8&gt;$I8,TRUE)</formula>
    </cfRule>
    <cfRule type="expression" dxfId="900" priority="24">
      <formula>IF($G8&lt;$I8,TRUE)</formula>
    </cfRule>
  </conditionalFormatting>
  <conditionalFormatting sqref="K8:N19">
    <cfRule type="expression" dxfId="899" priority="16">
      <formula>IF(AND(ISNUMBER($K8),$K8=$M8),TRUE)</formula>
    </cfRule>
    <cfRule type="expression" dxfId="898" priority="27">
      <formula>IF($K8&gt;$M8,TRUE)</formula>
    </cfRule>
    <cfRule type="expression" dxfId="897" priority="28">
      <formula>IF($K8&lt;$M8,TRUE)</formula>
    </cfRule>
  </conditionalFormatting>
  <conditionalFormatting sqref="O8:R19">
    <cfRule type="expression" dxfId="896" priority="15">
      <formula>IF(AND(ISNUMBER($O8),$O8=$Q8),TRUE)</formula>
    </cfRule>
    <cfRule type="expression" dxfId="895" priority="31">
      <formula>IF($O8&gt;$Q8,TRUE)</formula>
    </cfRule>
    <cfRule type="expression" dxfId="894" priority="32">
      <formula>IF($O8&lt;$Q8,TRUE)</formula>
    </cfRule>
  </conditionalFormatting>
  <conditionalFormatting sqref="S8:V19">
    <cfRule type="expression" dxfId="893" priority="14">
      <formula>IF(AND(ISNUMBER($S8),$S8=$U8),TRUE)</formula>
    </cfRule>
    <cfRule type="expression" dxfId="892" priority="35">
      <formula>IF($S8&gt;$U8,TRUE)</formula>
    </cfRule>
    <cfRule type="expression" dxfId="891" priority="36">
      <formula>IF($S8&lt;$U8,TRUE)</formula>
    </cfRule>
  </conditionalFormatting>
  <conditionalFormatting sqref="W8:Z19">
    <cfRule type="expression" dxfId="890" priority="9">
      <formula>IF(AND(ISNUMBER($W8),$W8=$Y8),TRUE)</formula>
    </cfRule>
    <cfRule type="expression" dxfId="889" priority="10">
      <formula>IF($W8&gt;$Y8,TRUE)</formula>
    </cfRule>
    <cfRule type="expression" dxfId="888" priority="11">
      <formula>IF($W8&lt;$Y8,TRUE)</formula>
    </cfRule>
  </conditionalFormatting>
  <conditionalFormatting sqref="C8:C19 G8:G19 K8:K19 O8:O19 S8:S19 W8:W19">
    <cfRule type="expression" dxfId="887" priority="1">
      <formula>AND(ISNUMBER(C8),C8&lt;1,ISNUMBER(E8))</formula>
    </cfRule>
  </conditionalFormatting>
  <conditionalFormatting sqref="E8:E19 I8:I19 M8:M19 Q8:Q19 U8:U19 Y8:Y19">
    <cfRule type="expression" dxfId="886" priority="2">
      <formula>AND(ISNUMBER(E8),E8&lt;1,ISNUMBER(C8))</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Q319"/>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42.28515625" style="32"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UPPER((Kalend!E12)&amp;" - "&amp;(Kalend!C12)&amp;" - "&amp;(Kalend!D12))</f>
        <v>V2 - VOKA 5. KV 2.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"&amp;(Kalend!A12)&amp;" kell "&amp;(Kalend!B12)</f>
        <v>Toimumisaeg: K, 23.05.2018 kell 18:00</v>
      </c>
      <c r="Y2" s="56" t="s">
        <v>449</v>
      </c>
      <c r="AE2" s="56" t="s">
        <v>449</v>
      </c>
    </row>
    <row r="3" spans="1:42" x14ac:dyDescent="0.2">
      <c r="A3" s="2" t="str">
        <f>"Toimumiskoht: "&amp;(Kalend!F12)</f>
        <v>Toimumiskoht: Voka staadion</v>
      </c>
      <c r="G3" s="1337"/>
      <c r="H3" s="1337"/>
      <c r="I3" s="1338" t="s">
        <v>446</v>
      </c>
      <c r="J3" s="659">
        <v>1</v>
      </c>
      <c r="K3" s="188" t="s">
        <v>493</v>
      </c>
    </row>
    <row r="4" spans="1:42" x14ac:dyDescent="0.2">
      <c r="A4" s="2" t="str">
        <f>"Korraldaja: "&amp;(Kalend!G12)</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51" t="s">
        <v>484</v>
      </c>
      <c r="C8" s="1323">
        <v>13</v>
      </c>
      <c r="D8" s="1324" t="s">
        <v>211</v>
      </c>
      <c r="E8" s="1325">
        <v>2</v>
      </c>
      <c r="F8" s="1315" t="str">
        <f>B21</f>
        <v>Karla Purgats, Lemmit Toomra</v>
      </c>
      <c r="G8" s="1323">
        <v>13</v>
      </c>
      <c r="H8" s="1324" t="s">
        <v>211</v>
      </c>
      <c r="I8" s="1325">
        <v>5</v>
      </c>
      <c r="J8" s="1315" t="str">
        <f>B18</f>
        <v>Andrei Grintšak, Daniil Alekankin</v>
      </c>
      <c r="K8" s="1323">
        <v>13</v>
      </c>
      <c r="L8" s="1324" t="s">
        <v>211</v>
      </c>
      <c r="M8" s="1325">
        <v>3</v>
      </c>
      <c r="N8" s="1315" t="str">
        <f>B11</f>
        <v>Mait Metsla, Matti Vinni</v>
      </c>
      <c r="O8" s="1323">
        <v>13</v>
      </c>
      <c r="P8" s="1324" t="s">
        <v>211</v>
      </c>
      <c r="Q8" s="1325">
        <v>1</v>
      </c>
      <c r="R8" s="1315" t="str">
        <f>B9</f>
        <v>Henri Mitt, Urmas Jõeäär</v>
      </c>
      <c r="S8" s="1323">
        <v>13</v>
      </c>
      <c r="T8" s="1324" t="s">
        <v>211</v>
      </c>
      <c r="U8" s="1325">
        <v>1</v>
      </c>
      <c r="V8" s="1315" t="str">
        <f>B12</f>
        <v>Elmo Lageda, Tõnu Piik</v>
      </c>
      <c r="W8" s="1323"/>
      <c r="X8" s="1324" t="s">
        <v>211</v>
      </c>
      <c r="Y8" s="1325"/>
      <c r="Z8" s="1315"/>
      <c r="AA8" s="1330">
        <f t="shared" ref="AA8:AA23" si="0">IF(C8&gt;E8,J$3,IF(C8&lt;E8,J$5,IF(ISNUMBER(C8),J$4,0)))+IF(G8&gt;I8,J$3,IF(G8&lt;I8,J$5,IF(ISNUMBER(G8),J$4,0)))+IF(K8&gt;M8,J$3,IF(K8&lt;M8,J$5,IF(ISNUMBER(K8),J$4,0)))+IF(O8&gt;Q8,J$3,IF(O8&lt;Q8,J$5,IF(ISNUMBER(O8),J$4,0)))+IF(S8&gt;U8,J$3,IF(S8&lt;U8,J$5,IF(ISNUMBER(S8),J$4,0)))+IF(W8&gt;Y8,J$3,IF(W8&lt;Y8,J$5,IF(ISNUMBER(W8),J$4,0)))</f>
        <v>5</v>
      </c>
      <c r="AB8" s="1331"/>
      <c r="AC8" s="1323">
        <f t="shared" ref="AC8:AC23" si="1">C8+G8+K8+O8+S8+W8</f>
        <v>65</v>
      </c>
      <c r="AD8" s="1324" t="s">
        <v>211</v>
      </c>
      <c r="AE8" s="1326">
        <f t="shared" ref="AE8:AE23" si="2">E8+I8+M8+Q8+U8+Y8</f>
        <v>12</v>
      </c>
      <c r="AF8" s="1327">
        <f t="shared" ref="AF8:AF23" si="3">AC8-AE8</f>
        <v>53</v>
      </c>
      <c r="AG8" s="663"/>
      <c r="AH8" s="499">
        <f t="shared" ref="AH8" si="4">SUM(AJ8:AP8)</f>
        <v>90</v>
      </c>
      <c r="AI8" s="605" t="str">
        <f t="shared" ref="AI8:AI23" si="5">IFERROR(LEFT($B8,(FIND(",",$B8,1)-1)),"")</f>
        <v>Ivar Viljaste</v>
      </c>
      <c r="AJ8" s="604">
        <f>IFERROR(INDEX(V!$N:$N,MATCH(AI8,V!$I:$I,0)),"")</f>
        <v>59</v>
      </c>
      <c r="AK8" s="605" t="str">
        <f t="shared" ref="AK8:AK23" si="6">IFERROR(MID($B8,FIND(", ",$B8)+2,256),"")</f>
        <v>Sirje Viljaste</v>
      </c>
      <c r="AL8" s="604">
        <f>IFERROR(INDEX(V!$N:$N,MATCH(AK8,V!$I:$I,0)),"")</f>
        <v>31</v>
      </c>
      <c r="AM8" s="603" t="str">
        <f t="shared" ref="AM8:AM23" si="7">IFERROR(MID($B8,FIND("^",SUBSTITUTE($B8,", ","^",1))+2,FIND("^",SUBSTITUTE($B8,", ","^",2))-FIND("^",SUBSTITUTE($B8,", ","^",1))-2),"")</f>
        <v/>
      </c>
      <c r="AN8" s="604" t="str">
        <f>IFERROR(INDEX(V!$N:$N,MATCH(AM8,V!$I:$I,0)),"")</f>
        <v/>
      </c>
      <c r="AO8" s="603" t="str">
        <f t="shared" ref="AO8:AO23" si="8">IFERROR(MID($B8,FIND(", ",$B8,FIND(", ",$B8,FIND(", ",$B8))+1)+2,700),"")</f>
        <v/>
      </c>
      <c r="AP8" s="604" t="str">
        <f>IFERROR(INDEX(V!$N:$N,MATCH(AO8,V!$I:$I,0)),"")</f>
        <v/>
      </c>
    </row>
    <row r="9" spans="1:42" ht="12.75" customHeight="1" x14ac:dyDescent="0.2">
      <c r="A9" s="1319">
        <v>2</v>
      </c>
      <c r="B9" s="1351" t="s">
        <v>444</v>
      </c>
      <c r="C9" s="1323">
        <v>13</v>
      </c>
      <c r="D9" s="1324" t="s">
        <v>211</v>
      </c>
      <c r="E9" s="1325">
        <v>5</v>
      </c>
      <c r="F9" s="1315" t="str">
        <f>B23</f>
        <v>Andres Veski, Svetlana Veski</v>
      </c>
      <c r="G9" s="1323">
        <v>13</v>
      </c>
      <c r="H9" s="1324" t="s">
        <v>211</v>
      </c>
      <c r="I9" s="1325">
        <v>6</v>
      </c>
      <c r="J9" s="1315" t="str">
        <f>B13</f>
        <v>Kenneth Muusikus, Väino Aul</v>
      </c>
      <c r="K9" s="1323">
        <v>13</v>
      </c>
      <c r="L9" s="1324" t="s">
        <v>211</v>
      </c>
      <c r="M9" s="1325">
        <v>7</v>
      </c>
      <c r="N9" s="1315" t="str">
        <f>B12</f>
        <v>Elmo Lageda, Tõnu Piik</v>
      </c>
      <c r="O9" s="1323">
        <v>1</v>
      </c>
      <c r="P9" s="1324" t="s">
        <v>211</v>
      </c>
      <c r="Q9" s="1325">
        <v>13</v>
      </c>
      <c r="R9" s="1315" t="str">
        <f>B8</f>
        <v>Ivar Viljaste, Sirje Viljaste</v>
      </c>
      <c r="S9" s="1323">
        <v>13</v>
      </c>
      <c r="T9" s="1324" t="s">
        <v>211</v>
      </c>
      <c r="U9" s="1325">
        <v>7</v>
      </c>
      <c r="V9" s="1315" t="str">
        <f>B11</f>
        <v>Mait Metsla, Matti Vinni</v>
      </c>
      <c r="W9" s="1323"/>
      <c r="X9" s="1324" t="s">
        <v>211</v>
      </c>
      <c r="Y9" s="1325"/>
      <c r="Z9" s="1315"/>
      <c r="AA9" s="1330">
        <f t="shared" si="0"/>
        <v>4</v>
      </c>
      <c r="AB9" s="1331"/>
      <c r="AC9" s="1323">
        <f t="shared" si="1"/>
        <v>53</v>
      </c>
      <c r="AD9" s="1324" t="s">
        <v>211</v>
      </c>
      <c r="AE9" s="1326">
        <f t="shared" si="2"/>
        <v>38</v>
      </c>
      <c r="AF9" s="1327">
        <f t="shared" si="3"/>
        <v>15</v>
      </c>
      <c r="AG9" s="663"/>
      <c r="AH9" s="499">
        <f t="shared" ref="AH9:AH18" si="9">SUM(AJ9:AP9)</f>
        <v>114</v>
      </c>
      <c r="AI9" s="605" t="str">
        <f t="shared" si="5"/>
        <v>Henri Mitt</v>
      </c>
      <c r="AJ9" s="604">
        <f>IFERROR(INDEX(V!$N:$N,MATCH(AI9,V!$I:$I,0)),"")</f>
        <v>46.5</v>
      </c>
      <c r="AK9" s="605" t="str">
        <f t="shared" si="6"/>
        <v>Urmas Jõeäär</v>
      </c>
      <c r="AL9" s="604">
        <f>IFERROR(INDEX(V!$N:$N,MATCH(AK9,V!$I:$I,0)),"")</f>
        <v>67.5</v>
      </c>
      <c r="AM9" s="603" t="str">
        <f t="shared" si="7"/>
        <v/>
      </c>
      <c r="AN9" s="604" t="str">
        <f>IFERROR(INDEX(V!$N:$N,MATCH(AM9,V!$I:$I,0)),"")</f>
        <v/>
      </c>
      <c r="AO9" s="603" t="str">
        <f t="shared" si="8"/>
        <v/>
      </c>
      <c r="AP9" s="604" t="str">
        <f>IFERROR(INDEX(V!$N:$N,MATCH(AO9,V!$I:$I,0)),"")</f>
        <v/>
      </c>
    </row>
    <row r="10" spans="1:42" ht="12.75" customHeight="1" x14ac:dyDescent="0.2">
      <c r="A10" s="1319">
        <v>3</v>
      </c>
      <c r="B10" s="1352" t="s">
        <v>485</v>
      </c>
      <c r="C10" s="1323">
        <v>13</v>
      </c>
      <c r="D10" s="1324" t="s">
        <v>211</v>
      </c>
      <c r="E10" s="1325">
        <v>6</v>
      </c>
      <c r="F10" s="1315" t="str">
        <f>B15</f>
        <v>Oksana Sažina, Oleg Rõndenkov</v>
      </c>
      <c r="G10" s="1323">
        <v>5</v>
      </c>
      <c r="H10" s="1324" t="s">
        <v>211</v>
      </c>
      <c r="I10" s="1325">
        <v>13</v>
      </c>
      <c r="J10" s="1315" t="str">
        <f>B12</f>
        <v>Elmo Lageda, Tõnu Piik</v>
      </c>
      <c r="K10" s="1323">
        <v>13</v>
      </c>
      <c r="L10" s="1324" t="s">
        <v>211</v>
      </c>
      <c r="M10" s="1325">
        <v>1</v>
      </c>
      <c r="N10" s="1315" t="str">
        <f>B14</f>
        <v>Enn Tokman, Tõnu Kapper</v>
      </c>
      <c r="O10" s="1323">
        <v>10</v>
      </c>
      <c r="P10" s="1324" t="s">
        <v>211</v>
      </c>
      <c r="Q10" s="1325">
        <v>13</v>
      </c>
      <c r="R10" s="1315" t="str">
        <f>B17</f>
        <v>Argo Sepp, Jaan Sepp</v>
      </c>
      <c r="S10" s="1323">
        <v>13</v>
      </c>
      <c r="T10" s="1324" t="s">
        <v>211</v>
      </c>
      <c r="U10" s="1325">
        <v>6</v>
      </c>
      <c r="V10" s="1315" t="str">
        <f>B18</f>
        <v>Andrei Grintšak, Daniil Alekankin</v>
      </c>
      <c r="W10" s="1323"/>
      <c r="X10" s="1324" t="s">
        <v>211</v>
      </c>
      <c r="Y10" s="1325"/>
      <c r="Z10" s="1315"/>
      <c r="AA10" s="1335">
        <f t="shared" si="0"/>
        <v>3</v>
      </c>
      <c r="AB10" s="1331"/>
      <c r="AC10" s="1323">
        <f t="shared" si="1"/>
        <v>54</v>
      </c>
      <c r="AD10" s="1324" t="s">
        <v>211</v>
      </c>
      <c r="AE10" s="1326">
        <f t="shared" si="2"/>
        <v>39</v>
      </c>
      <c r="AF10" s="1327">
        <f t="shared" si="3"/>
        <v>15</v>
      </c>
      <c r="AG10" s="663"/>
      <c r="AH10" s="499">
        <f t="shared" si="9"/>
        <v>40</v>
      </c>
      <c r="AI10" s="605" t="str">
        <f t="shared" si="5"/>
        <v>Aleksander Korikov</v>
      </c>
      <c r="AJ10" s="604">
        <f>IFERROR(INDEX(V!$N:$N,MATCH(AI10,V!$I:$I,0)),"")</f>
        <v>26</v>
      </c>
      <c r="AK10" s="605" t="str">
        <f t="shared" si="6"/>
        <v>Fredi Müür</v>
      </c>
      <c r="AL10" s="604">
        <f>IFERROR(INDEX(V!$N:$N,MATCH(AK10,V!$I:$I,0)),"")</f>
        <v>14</v>
      </c>
      <c r="AM10" s="603" t="str">
        <f t="shared" si="7"/>
        <v/>
      </c>
      <c r="AN10" s="604" t="str">
        <f>IFERROR(INDEX(V!$N:$N,MATCH(AM10,V!$I:$I,0)),"")</f>
        <v/>
      </c>
      <c r="AO10" s="603" t="str">
        <f t="shared" si="8"/>
        <v/>
      </c>
      <c r="AP10" s="604" t="str">
        <f>IFERROR(INDEX(V!$N:$N,MATCH(AO10,V!$I:$I,0)),"")</f>
        <v/>
      </c>
    </row>
    <row r="11" spans="1:42" ht="12.75" customHeight="1" x14ac:dyDescent="0.2">
      <c r="A11" s="1354">
        <v>4</v>
      </c>
      <c r="B11" s="1352" t="s">
        <v>481</v>
      </c>
      <c r="C11" s="1323">
        <v>13</v>
      </c>
      <c r="D11" s="1324" t="s">
        <v>211</v>
      </c>
      <c r="E11" s="1325">
        <v>12</v>
      </c>
      <c r="F11" s="1315" t="str">
        <f>B19</f>
        <v>Brigitta Neiland, Einar Juhkam, Johannes Neiland</v>
      </c>
      <c r="G11" s="1323">
        <v>13</v>
      </c>
      <c r="H11" s="1324" t="s">
        <v>211</v>
      </c>
      <c r="I11" s="1325">
        <v>4</v>
      </c>
      <c r="J11" s="1315" t="str">
        <f>B17</f>
        <v>Argo Sepp, Jaan Sepp</v>
      </c>
      <c r="K11" s="1323">
        <v>3</v>
      </c>
      <c r="L11" s="1324" t="s">
        <v>211</v>
      </c>
      <c r="M11" s="1325">
        <v>13</v>
      </c>
      <c r="N11" s="1315" t="str">
        <f>B8</f>
        <v>Ivar Viljaste, Sirje Viljaste</v>
      </c>
      <c r="O11" s="1323">
        <v>13</v>
      </c>
      <c r="P11" s="1324" t="s">
        <v>211</v>
      </c>
      <c r="Q11" s="1325">
        <v>4</v>
      </c>
      <c r="R11" s="1315" t="str">
        <f>B13</f>
        <v>Kenneth Muusikus, Väino Aul</v>
      </c>
      <c r="S11" s="1323">
        <v>7</v>
      </c>
      <c r="T11" s="1324" t="s">
        <v>211</v>
      </c>
      <c r="U11" s="1325">
        <v>13</v>
      </c>
      <c r="V11" s="1315" t="str">
        <f>B9</f>
        <v>Henri Mitt, Urmas Jõeäär</v>
      </c>
      <c r="W11" s="1323"/>
      <c r="X11" s="1324" t="s">
        <v>211</v>
      </c>
      <c r="Y11" s="1325"/>
      <c r="Z11" s="1315"/>
      <c r="AA11" s="1335">
        <f t="shared" si="0"/>
        <v>3</v>
      </c>
      <c r="AB11" s="1331"/>
      <c r="AC11" s="1323">
        <f t="shared" si="1"/>
        <v>49</v>
      </c>
      <c r="AD11" s="1324" t="s">
        <v>211</v>
      </c>
      <c r="AE11" s="1326">
        <f t="shared" si="2"/>
        <v>46</v>
      </c>
      <c r="AF11" s="1327">
        <f t="shared" si="3"/>
        <v>3</v>
      </c>
      <c r="AG11" s="663"/>
      <c r="AH11" s="499">
        <f t="shared" si="9"/>
        <v>123</v>
      </c>
      <c r="AI11" s="605" t="str">
        <f t="shared" si="5"/>
        <v>Mait Metsla</v>
      </c>
      <c r="AJ11" s="604">
        <f>IFERROR(INDEX(V!$N:$N,MATCH(AI11,V!$I:$I,0)),"")</f>
        <v>89</v>
      </c>
      <c r="AK11" s="605" t="str">
        <f t="shared" si="6"/>
        <v>Matti Vinni</v>
      </c>
      <c r="AL11" s="604">
        <f>IFERROR(INDEX(V!$N:$N,MATCH(AK11,V!$I:$I,0)),"")</f>
        <v>34</v>
      </c>
      <c r="AM11" s="603" t="str">
        <f t="shared" si="7"/>
        <v/>
      </c>
      <c r="AN11" s="604" t="str">
        <f>IFERROR(INDEX(V!$N:$N,MATCH(AM11,V!$I:$I,0)),"")</f>
        <v/>
      </c>
      <c r="AO11" s="603" t="str">
        <f t="shared" si="8"/>
        <v/>
      </c>
      <c r="AP11" s="604" t="str">
        <f>IFERROR(INDEX(V!$N:$N,MATCH(AO11,V!$I:$I,0)),"")</f>
        <v/>
      </c>
    </row>
    <row r="12" spans="1:42" ht="12.75" customHeight="1" x14ac:dyDescent="0.2">
      <c r="A12" s="1354">
        <v>4</v>
      </c>
      <c r="B12" s="1352" t="s">
        <v>33</v>
      </c>
      <c r="C12" s="1323">
        <v>13</v>
      </c>
      <c r="D12" s="1324" t="s">
        <v>211</v>
      </c>
      <c r="E12" s="1325">
        <v>7</v>
      </c>
      <c r="F12" s="1315" t="str">
        <f>B20</f>
        <v>Meelis Luud, Urmas Randlaine</v>
      </c>
      <c r="G12" s="1323">
        <v>13</v>
      </c>
      <c r="H12" s="1324" t="s">
        <v>211</v>
      </c>
      <c r="I12" s="1325">
        <v>5</v>
      </c>
      <c r="J12" s="1315" t="str">
        <f>B10</f>
        <v>Aleksander Korikov, Fredi Müür</v>
      </c>
      <c r="K12" s="1323">
        <v>7</v>
      </c>
      <c r="L12" s="1324" t="s">
        <v>211</v>
      </c>
      <c r="M12" s="1325">
        <v>13</v>
      </c>
      <c r="N12" s="1315" t="str">
        <f>B9</f>
        <v>Henri Mitt, Urmas Jõeäär</v>
      </c>
      <c r="O12" s="1323">
        <v>13</v>
      </c>
      <c r="P12" s="1324" t="s">
        <v>211</v>
      </c>
      <c r="Q12" s="1325">
        <v>7</v>
      </c>
      <c r="R12" s="1315" t="str">
        <f>B18</f>
        <v>Andrei Grintšak, Daniil Alekankin</v>
      </c>
      <c r="S12" s="1323">
        <v>1</v>
      </c>
      <c r="T12" s="1324" t="s">
        <v>211</v>
      </c>
      <c r="U12" s="1325">
        <v>13</v>
      </c>
      <c r="V12" s="1315" t="str">
        <f>B8</f>
        <v>Ivar Viljaste, Sirje Viljaste</v>
      </c>
      <c r="W12" s="1323"/>
      <c r="X12" s="1324" t="s">
        <v>211</v>
      </c>
      <c r="Y12" s="1325"/>
      <c r="Z12" s="1315"/>
      <c r="AA12" s="1335">
        <f t="shared" si="0"/>
        <v>3</v>
      </c>
      <c r="AB12" s="1331"/>
      <c r="AC12" s="1323">
        <f t="shared" si="1"/>
        <v>47</v>
      </c>
      <c r="AD12" s="1324" t="s">
        <v>211</v>
      </c>
      <c r="AE12" s="1326">
        <f t="shared" si="2"/>
        <v>45</v>
      </c>
      <c r="AF12" s="1327">
        <f t="shared" si="3"/>
        <v>2</v>
      </c>
      <c r="AG12" s="663"/>
      <c r="AH12" s="499">
        <f t="shared" si="9"/>
        <v>180</v>
      </c>
      <c r="AI12" s="605" t="str">
        <f t="shared" si="5"/>
        <v>Elmo Lageda</v>
      </c>
      <c r="AJ12" s="604">
        <f>IFERROR(INDEX(V!$N:$N,MATCH(AI12,V!$I:$I,0)),"")</f>
        <v>91</v>
      </c>
      <c r="AK12" s="605" t="str">
        <f t="shared" si="6"/>
        <v>Tõnu Piik</v>
      </c>
      <c r="AL12" s="604">
        <f>IFERROR(INDEX(V!$N:$N,MATCH(AK12,V!$I:$I,0)),"")</f>
        <v>89</v>
      </c>
      <c r="AM12" s="603" t="str">
        <f t="shared" si="7"/>
        <v/>
      </c>
      <c r="AN12" s="604" t="str">
        <f>IFERROR(INDEX(V!$N:$N,MATCH(AM12,V!$I:$I,0)),"")</f>
        <v/>
      </c>
      <c r="AO12" s="603" t="str">
        <f t="shared" si="8"/>
        <v/>
      </c>
      <c r="AP12" s="604" t="str">
        <f>IFERROR(INDEX(V!$N:$N,MATCH(AO12,V!$I:$I,0)),"")</f>
        <v/>
      </c>
    </row>
    <row r="13" spans="1:42" ht="12.75" customHeight="1" x14ac:dyDescent="0.2">
      <c r="A13" s="1319">
        <v>6</v>
      </c>
      <c r="B13" s="1352" t="s">
        <v>486</v>
      </c>
      <c r="C13" s="1323">
        <v>11</v>
      </c>
      <c r="D13" s="1324" t="s">
        <v>211</v>
      </c>
      <c r="E13" s="1325">
        <v>8</v>
      </c>
      <c r="F13" s="1315" t="str">
        <f>B16</f>
        <v>Anna Romanenko, Tarmo Müür</v>
      </c>
      <c r="G13" s="1323">
        <v>6</v>
      </c>
      <c r="H13" s="1324" t="s">
        <v>211</v>
      </c>
      <c r="I13" s="1325">
        <v>13</v>
      </c>
      <c r="J13" s="1315" t="str">
        <f>B9</f>
        <v>Henri Mitt, Urmas Jõeäär</v>
      </c>
      <c r="K13" s="1323">
        <v>11</v>
      </c>
      <c r="L13" s="1324" t="s">
        <v>211</v>
      </c>
      <c r="M13" s="1325">
        <v>9</v>
      </c>
      <c r="N13" s="1315" t="str">
        <f>B15</f>
        <v>Oksana Sažina, Oleg Rõndenkov</v>
      </c>
      <c r="O13" s="1323">
        <v>4</v>
      </c>
      <c r="P13" s="1324" t="s">
        <v>211</v>
      </c>
      <c r="Q13" s="1325">
        <v>13</v>
      </c>
      <c r="R13" s="1315" t="str">
        <f>B11</f>
        <v>Mait Metsla, Matti Vinni</v>
      </c>
      <c r="S13" s="1323">
        <v>13</v>
      </c>
      <c r="T13" s="1324" t="s">
        <v>211</v>
      </c>
      <c r="U13" s="1325">
        <v>7</v>
      </c>
      <c r="V13" s="1315" t="str">
        <f>B19</f>
        <v>Brigitta Neiland, Einar Juhkam, Johannes Neiland</v>
      </c>
      <c r="W13" s="1323"/>
      <c r="X13" s="1324" t="s">
        <v>211</v>
      </c>
      <c r="Y13" s="1325"/>
      <c r="Z13" s="1315"/>
      <c r="AA13" s="1335">
        <f t="shared" si="0"/>
        <v>3</v>
      </c>
      <c r="AB13" s="1331"/>
      <c r="AC13" s="1323">
        <f t="shared" si="1"/>
        <v>45</v>
      </c>
      <c r="AD13" s="1324" t="s">
        <v>211</v>
      </c>
      <c r="AE13" s="1326">
        <f t="shared" si="2"/>
        <v>50</v>
      </c>
      <c r="AF13" s="1327">
        <f t="shared" si="3"/>
        <v>-5</v>
      </c>
      <c r="AG13" s="663"/>
      <c r="AH13" s="499">
        <f t="shared" si="9"/>
        <v>123</v>
      </c>
      <c r="AI13" s="605" t="str">
        <f t="shared" si="5"/>
        <v>Kenneth Muusikus</v>
      </c>
      <c r="AJ13" s="604">
        <f>IFERROR(INDEX(V!$N:$N,MATCH(AI13,V!$I:$I,0)),"")</f>
        <v>87</v>
      </c>
      <c r="AK13" s="605" t="str">
        <f t="shared" si="6"/>
        <v>Väino Aul</v>
      </c>
      <c r="AL13" s="604">
        <f>IFERROR(INDEX(V!$N:$N,MATCH(AK13,V!$I:$I,0)),"")</f>
        <v>36</v>
      </c>
      <c r="AM13" s="603" t="str">
        <f t="shared" si="7"/>
        <v/>
      </c>
      <c r="AN13" s="604" t="str">
        <f>IFERROR(INDEX(V!$N:$N,MATCH(AM13,V!$I:$I,0)),"")</f>
        <v/>
      </c>
      <c r="AO13" s="603" t="str">
        <f t="shared" si="8"/>
        <v/>
      </c>
      <c r="AP13" s="604" t="str">
        <f>IFERROR(INDEX(V!$N:$N,MATCH(AO13,V!$I:$I,0)),"")</f>
        <v/>
      </c>
    </row>
    <row r="14" spans="1:42" ht="12.75" customHeight="1" x14ac:dyDescent="0.2">
      <c r="A14" s="1319">
        <v>7</v>
      </c>
      <c r="B14" s="1352" t="s">
        <v>487</v>
      </c>
      <c r="C14" s="1323">
        <v>8</v>
      </c>
      <c r="D14" s="1324" t="s">
        <v>211</v>
      </c>
      <c r="E14" s="1325">
        <v>13</v>
      </c>
      <c r="F14" s="1315" t="str">
        <f>B18</f>
        <v>Andrei Grintšak, Daniil Alekankin</v>
      </c>
      <c r="G14" s="1323">
        <v>13</v>
      </c>
      <c r="H14" s="1324" t="s">
        <v>211</v>
      </c>
      <c r="I14" s="1325">
        <v>3</v>
      </c>
      <c r="J14" s="1315" t="str">
        <f>B19</f>
        <v>Brigitta Neiland, Einar Juhkam, Johannes Neiland</v>
      </c>
      <c r="K14" s="1323">
        <v>1</v>
      </c>
      <c r="L14" s="1324" t="s">
        <v>211</v>
      </c>
      <c r="M14" s="1325">
        <v>13</v>
      </c>
      <c r="N14" s="1315" t="str">
        <f>B10</f>
        <v>Aleksander Korikov, Fredi Müür</v>
      </c>
      <c r="O14" s="1323">
        <v>12</v>
      </c>
      <c r="P14" s="1324" t="s">
        <v>211</v>
      </c>
      <c r="Q14" s="1325">
        <v>7</v>
      </c>
      <c r="R14" s="1315" t="str">
        <f>B16</f>
        <v>Anna Romanenko, Tarmo Müür</v>
      </c>
      <c r="S14" s="1323">
        <v>13</v>
      </c>
      <c r="T14" s="1324" t="s">
        <v>211</v>
      </c>
      <c r="U14" s="1325">
        <v>6</v>
      </c>
      <c r="V14" s="1315" t="str">
        <f>B23</f>
        <v>Andres Veski, Svetlana Veski</v>
      </c>
      <c r="W14" s="1323"/>
      <c r="X14" s="1324" t="s">
        <v>211</v>
      </c>
      <c r="Y14" s="1325"/>
      <c r="Z14" s="1315"/>
      <c r="AA14" s="1335">
        <f t="shared" si="0"/>
        <v>3</v>
      </c>
      <c r="AB14" s="1331"/>
      <c r="AC14" s="1323">
        <f t="shared" si="1"/>
        <v>47</v>
      </c>
      <c r="AD14" s="1324" t="s">
        <v>211</v>
      </c>
      <c r="AE14" s="1326">
        <f t="shared" si="2"/>
        <v>42</v>
      </c>
      <c r="AF14" s="1327">
        <f t="shared" si="3"/>
        <v>5</v>
      </c>
      <c r="AG14" s="663"/>
      <c r="AH14" s="499">
        <f t="shared" si="9"/>
        <v>104.5</v>
      </c>
      <c r="AI14" s="605" t="str">
        <f t="shared" si="5"/>
        <v>Enn Tokman</v>
      </c>
      <c r="AJ14" s="604">
        <f>IFERROR(INDEX(V!$N:$N,MATCH(AI14,V!$I:$I,0)),"")</f>
        <v>39.5</v>
      </c>
      <c r="AK14" s="605" t="str">
        <f t="shared" si="6"/>
        <v>Tõnu Kapper</v>
      </c>
      <c r="AL14" s="604">
        <f>IFERROR(INDEX(V!$N:$N,MATCH(AK14,V!$I:$I,0)),"")</f>
        <v>65</v>
      </c>
      <c r="AM14" s="603" t="str">
        <f t="shared" si="7"/>
        <v/>
      </c>
      <c r="AN14" s="604" t="str">
        <f>IFERROR(INDEX(V!$N:$N,MATCH(AM14,V!$I:$I,0)),"")</f>
        <v/>
      </c>
      <c r="AO14" s="603" t="str">
        <f t="shared" si="8"/>
        <v/>
      </c>
      <c r="AP14" s="604" t="str">
        <f>IFERROR(INDEX(V!$N:$N,MATCH(AO14,V!$I:$I,0)),"")</f>
        <v/>
      </c>
    </row>
    <row r="15" spans="1:42" ht="12.75" customHeight="1" x14ac:dyDescent="0.2">
      <c r="A15" s="1319">
        <v>8</v>
      </c>
      <c r="B15" s="1352" t="s">
        <v>35</v>
      </c>
      <c r="C15" s="1323">
        <v>6</v>
      </c>
      <c r="D15" s="1324" t="s">
        <v>211</v>
      </c>
      <c r="E15" s="1325">
        <v>13</v>
      </c>
      <c r="F15" s="1315" t="str">
        <f>B10</f>
        <v>Aleksander Korikov, Fredi Müür</v>
      </c>
      <c r="G15" s="1323">
        <v>13</v>
      </c>
      <c r="H15" s="1324" t="s">
        <v>211</v>
      </c>
      <c r="I15" s="1325">
        <v>11</v>
      </c>
      <c r="J15" s="1315" t="str">
        <f>B23</f>
        <v>Andres Veski, Svetlana Veski</v>
      </c>
      <c r="K15" s="1323">
        <v>9</v>
      </c>
      <c r="L15" s="1324" t="s">
        <v>211</v>
      </c>
      <c r="M15" s="1325">
        <v>11</v>
      </c>
      <c r="N15" s="1315" t="str">
        <f>B13</f>
        <v>Kenneth Muusikus, Väino Aul</v>
      </c>
      <c r="O15" s="1323">
        <v>13</v>
      </c>
      <c r="P15" s="1324" t="s">
        <v>211</v>
      </c>
      <c r="Q15" s="1325">
        <v>12</v>
      </c>
      <c r="R15" s="1315" t="str">
        <f>B21</f>
        <v>Karla Purgats, Lemmit Toomra</v>
      </c>
      <c r="S15" s="1323">
        <v>13</v>
      </c>
      <c r="T15" s="1324" t="s">
        <v>211</v>
      </c>
      <c r="U15" s="1325">
        <v>11</v>
      </c>
      <c r="V15" s="1315" t="str">
        <f>B17</f>
        <v>Argo Sepp, Jaan Sepp</v>
      </c>
      <c r="W15" s="1323"/>
      <c r="X15" s="1324" t="s">
        <v>211</v>
      </c>
      <c r="Y15" s="1325"/>
      <c r="Z15" s="1315"/>
      <c r="AA15" s="1335">
        <f t="shared" si="0"/>
        <v>3</v>
      </c>
      <c r="AB15" s="1331"/>
      <c r="AC15" s="1323">
        <f t="shared" si="1"/>
        <v>54</v>
      </c>
      <c r="AD15" s="1324" t="s">
        <v>211</v>
      </c>
      <c r="AE15" s="1326">
        <f t="shared" si="2"/>
        <v>58</v>
      </c>
      <c r="AF15" s="1327">
        <f t="shared" si="3"/>
        <v>-4</v>
      </c>
      <c r="AG15" s="663"/>
      <c r="AH15" s="499">
        <f t="shared" si="9"/>
        <v>137</v>
      </c>
      <c r="AI15" s="605" t="str">
        <f t="shared" si="5"/>
        <v>Oksana Sažina</v>
      </c>
      <c r="AJ15" s="604">
        <f>IFERROR(INDEX(V!$N:$N,MATCH(AI15,V!$I:$I,0)),"")</f>
        <v>72</v>
      </c>
      <c r="AK15" s="605" t="str">
        <f t="shared" si="6"/>
        <v>Oleg Rõndenkov</v>
      </c>
      <c r="AL15" s="604">
        <f>IFERROR(INDEX(V!$N:$N,MATCH(AK15,V!$I:$I,0)),"")</f>
        <v>65</v>
      </c>
      <c r="AM15" s="603" t="str">
        <f t="shared" si="7"/>
        <v/>
      </c>
      <c r="AN15" s="604" t="str">
        <f>IFERROR(INDEX(V!$N:$N,MATCH(AM15,V!$I:$I,0)),"")</f>
        <v/>
      </c>
      <c r="AO15" s="603" t="str">
        <f t="shared" si="8"/>
        <v/>
      </c>
      <c r="AP15" s="604" t="str">
        <f>IFERROR(INDEX(V!$N:$N,MATCH(AO15,V!$I:$I,0)),"")</f>
        <v/>
      </c>
    </row>
    <row r="16" spans="1:42" ht="12.75" customHeight="1" x14ac:dyDescent="0.2">
      <c r="A16" s="1356">
        <v>9</v>
      </c>
      <c r="B16" s="1351" t="s">
        <v>489</v>
      </c>
      <c r="C16" s="1323">
        <v>8</v>
      </c>
      <c r="D16" s="1324" t="s">
        <v>211</v>
      </c>
      <c r="E16" s="1325">
        <v>11</v>
      </c>
      <c r="F16" s="1315" t="str">
        <f>B13</f>
        <v>Kenneth Muusikus, Väino Aul</v>
      </c>
      <c r="G16" s="1323">
        <v>13</v>
      </c>
      <c r="H16" s="1324" t="s">
        <v>211</v>
      </c>
      <c r="I16" s="1325">
        <v>1</v>
      </c>
      <c r="J16" s="1315" t="str">
        <f>B22</f>
        <v>Aigi Orro, Kalle Orro</v>
      </c>
      <c r="K16" s="1323">
        <v>10</v>
      </c>
      <c r="L16" s="1324" t="s">
        <v>211</v>
      </c>
      <c r="M16" s="1325">
        <v>10</v>
      </c>
      <c r="N16" s="1315" t="str">
        <f>B17</f>
        <v>Argo Sepp, Jaan Sepp</v>
      </c>
      <c r="O16" s="1323">
        <v>7</v>
      </c>
      <c r="P16" s="1324" t="s">
        <v>211</v>
      </c>
      <c r="Q16" s="1325">
        <v>12</v>
      </c>
      <c r="R16" s="1315" t="str">
        <f>B14</f>
        <v>Enn Tokman, Tõnu Kapper</v>
      </c>
      <c r="S16" s="1323">
        <v>13</v>
      </c>
      <c r="T16" s="1324" t="s">
        <v>211</v>
      </c>
      <c r="U16" s="1325">
        <v>5</v>
      </c>
      <c r="V16" s="1315" t="str">
        <f>B21</f>
        <v>Karla Purgats, Lemmit Toomra</v>
      </c>
      <c r="W16" s="1323"/>
      <c r="X16" s="1324" t="s">
        <v>211</v>
      </c>
      <c r="Y16" s="1325"/>
      <c r="Z16" s="1315"/>
      <c r="AA16" s="1330">
        <f>IF(C16&gt;E16,J$3,IF(C16&lt;E16,J$5,IF(ISNUMBER(C16),J$4,0)))+IF(G16&gt;I16,J$3,IF(G16&lt;I16,J$5,IF(ISNUMBER(G16),J$4,0)))+IF(K16&gt;M16,J$3,IF(K16&lt;M16,J$5,IF(ISNUMBER(K16),J$4,0)))+IF(O16&gt;Q16,J$3,IF(O16&lt;Q16,J$5,IF(ISNUMBER(O16),J$4,0)))+IF(S16&gt;U16,J$3,IF(S16&lt;U16,J$5,IF(ISNUMBER(S16),J$4,0)))+IF(W16&gt;Y16,J$3,IF(W16&lt;Y16,J$5,IF(ISNUMBER(W16),J$4,0)))</f>
        <v>2.5</v>
      </c>
      <c r="AB16" s="1331"/>
      <c r="AC16" s="1323">
        <f>C16+G16+K16+O16+S16+W16</f>
        <v>51</v>
      </c>
      <c r="AD16" s="1324" t="s">
        <v>211</v>
      </c>
      <c r="AE16" s="1326">
        <f>E16+I16+M16+Q16+U16+Y16</f>
        <v>39</v>
      </c>
      <c r="AF16" s="1327">
        <f>AC17-AE17</f>
        <v>-6</v>
      </c>
      <c r="AG16" s="663"/>
      <c r="AH16" s="499">
        <f t="shared" si="9"/>
        <v>129</v>
      </c>
      <c r="AI16" s="605" t="str">
        <f>IFERROR(LEFT($B17,(FIND(",",$B17,1)-1)),"")</f>
        <v>Argo Sepp</v>
      </c>
      <c r="AJ16" s="604">
        <f>IFERROR(INDEX(V!$N:$N,MATCH(AI16,V!$I:$I,0)),"")</f>
        <v>31</v>
      </c>
      <c r="AK16" s="605" t="str">
        <f>IFERROR(MID($B17,FIND(", ",$B17)+2,256),"")</f>
        <v>Jaan Sepp</v>
      </c>
      <c r="AL16" s="604">
        <f>IFERROR(INDEX(V!$N:$N,MATCH(AK16,V!$I:$I,0)),"")</f>
        <v>98</v>
      </c>
      <c r="AM16" s="603" t="str">
        <f>IFERROR(MID($B17,FIND("^",SUBSTITUTE($B17,", ","^",1))+2,FIND("^",SUBSTITUTE($B17,", ","^",2))-FIND("^",SUBSTITUTE($B17,", ","^",1))-2),"")</f>
        <v/>
      </c>
      <c r="AN16" s="604" t="str">
        <f>IFERROR(INDEX(V!$N:$N,MATCH(AM16,V!$I:$I,0)),"")</f>
        <v/>
      </c>
      <c r="AO16" s="603" t="str">
        <f>IFERROR(MID($B17,FIND(", ",$B17,FIND(", ",$B17,FIND(", ",$B17))+1)+2,700),"")</f>
        <v/>
      </c>
      <c r="AP16" s="604" t="str">
        <f>IFERROR(INDEX(V!$N:$N,MATCH(AO16,V!$I:$I,0)),"")</f>
        <v/>
      </c>
    </row>
    <row r="17" spans="1:43" ht="12.75" customHeight="1" x14ac:dyDescent="0.2">
      <c r="A17" s="1356">
        <v>9</v>
      </c>
      <c r="B17" s="1352" t="s">
        <v>488</v>
      </c>
      <c r="C17" s="1323">
        <v>13</v>
      </c>
      <c r="D17" s="1324" t="s">
        <v>211</v>
      </c>
      <c r="E17" s="1325">
        <v>11</v>
      </c>
      <c r="F17" s="1315" t="str">
        <f>B22</f>
        <v>Aigi Orro, Kalle Orro</v>
      </c>
      <c r="G17" s="1323">
        <v>4</v>
      </c>
      <c r="H17" s="1324" t="s">
        <v>211</v>
      </c>
      <c r="I17" s="1325">
        <v>13</v>
      </c>
      <c r="J17" s="1315" t="str">
        <f>B11</f>
        <v>Mait Metsla, Matti Vinni</v>
      </c>
      <c r="K17" s="1323">
        <v>10</v>
      </c>
      <c r="L17" s="1324" t="s">
        <v>211</v>
      </c>
      <c r="M17" s="1325">
        <v>10</v>
      </c>
      <c r="N17" s="1315" t="str">
        <f>B16</f>
        <v>Anna Romanenko, Tarmo Müür</v>
      </c>
      <c r="O17" s="1323">
        <v>13</v>
      </c>
      <c r="P17" s="1324" t="s">
        <v>211</v>
      </c>
      <c r="Q17" s="1325">
        <v>10</v>
      </c>
      <c r="R17" s="1315" t="str">
        <f>B10</f>
        <v>Aleksander Korikov, Fredi Müür</v>
      </c>
      <c r="S17" s="1323">
        <v>11</v>
      </c>
      <c r="T17" s="1324" t="s">
        <v>211</v>
      </c>
      <c r="U17" s="1325">
        <v>13</v>
      </c>
      <c r="V17" s="1315" t="str">
        <f>B15</f>
        <v>Oksana Sažina, Oleg Rõndenkov</v>
      </c>
      <c r="W17" s="1323"/>
      <c r="X17" s="1324" t="s">
        <v>211</v>
      </c>
      <c r="Y17" s="1325"/>
      <c r="Z17" s="1315"/>
      <c r="AA17" s="1330">
        <f>IF(C17&gt;E17,J$3,IF(C17&lt;E17,J$5,IF(ISNUMBER(C17),J$4,0)))+IF(G17&gt;I17,J$3,IF(G17&lt;I17,J$5,IF(ISNUMBER(G17),J$4,0)))+IF(K17&gt;M17,J$3,IF(K17&lt;M17,J$5,IF(ISNUMBER(K17),J$4,0)))+IF(O17&gt;Q17,J$3,IF(O17&lt;Q17,J$5,IF(ISNUMBER(O17),J$4,0)))+IF(S17&gt;U17,J$3,IF(S17&lt;U17,J$5,IF(ISNUMBER(S17),J$4,0)))+IF(W17&gt;Y17,J$3,IF(W17&lt;Y17,J$5,IF(ISNUMBER(W17),J$4,0)))</f>
        <v>2.5</v>
      </c>
      <c r="AB17" s="1331"/>
      <c r="AC17" s="1323">
        <f>C17+G17+K17+O17+S17+W17</f>
        <v>51</v>
      </c>
      <c r="AD17" s="1324" t="s">
        <v>211</v>
      </c>
      <c r="AE17" s="1326">
        <f>E17+I17+M17+Q17+U17+Y17</f>
        <v>57</v>
      </c>
      <c r="AF17" s="1327">
        <f>AC16-AE16</f>
        <v>12</v>
      </c>
      <c r="AG17" s="663"/>
      <c r="AH17" s="499">
        <f t="shared" si="9"/>
        <v>31</v>
      </c>
      <c r="AI17" s="605" t="str">
        <f>IFERROR(LEFT($B16,(FIND(",",$B16,1)-1)),"")</f>
        <v>Anna Romanenko</v>
      </c>
      <c r="AJ17" s="604">
        <f>IFERROR(INDEX(V!$N:$N,MATCH(AI17,V!$I:$I,0)),"")</f>
        <v>15.5</v>
      </c>
      <c r="AK17" s="605" t="str">
        <f>IFERROR(MID($B16,FIND(", ",$B16)+2,256),"")</f>
        <v>Tarmo Müür</v>
      </c>
      <c r="AL17" s="604">
        <f>IFERROR(INDEX(V!$N:$N,MATCH(AK17,V!$I:$I,0)),"")</f>
        <v>15.5</v>
      </c>
      <c r="AM17" s="603" t="str">
        <f>IFERROR(MID($B16,FIND("^",SUBSTITUTE($B16,", ","^",1))+2,FIND("^",SUBSTITUTE($B16,", ","^",2))-FIND("^",SUBSTITUTE($B16,", ","^",1))-2),"")</f>
        <v/>
      </c>
      <c r="AN17" s="604" t="str">
        <f>IFERROR(INDEX(V!$N:$N,MATCH(AM17,V!$I:$I,0)),"")</f>
        <v/>
      </c>
      <c r="AO17" s="603" t="str">
        <f>IFERROR(MID($B16,FIND(", ",$B16,FIND(", ",$B16,FIND(", ",$B16))+1)+2,700),"")</f>
        <v/>
      </c>
      <c r="AP17" s="604" t="str">
        <f>IFERROR(INDEX(V!$N:$N,MATCH(AO17,V!$I:$I,0)),"")</f>
        <v/>
      </c>
    </row>
    <row r="18" spans="1:43" ht="12.75" customHeight="1" x14ac:dyDescent="0.2">
      <c r="A18" s="1319">
        <v>11</v>
      </c>
      <c r="B18" s="1353" t="s">
        <v>482</v>
      </c>
      <c r="C18" s="1323">
        <v>13</v>
      </c>
      <c r="D18" s="1324" t="s">
        <v>211</v>
      </c>
      <c r="E18" s="1325">
        <v>8</v>
      </c>
      <c r="F18" s="1315" t="str">
        <f>B14</f>
        <v>Enn Tokman, Tõnu Kapper</v>
      </c>
      <c r="G18" s="1323">
        <v>5</v>
      </c>
      <c r="H18" s="1324" t="s">
        <v>211</v>
      </c>
      <c r="I18" s="1325">
        <v>13</v>
      </c>
      <c r="J18" s="1315" t="str">
        <f>B8</f>
        <v>Ivar Viljaste, Sirje Viljaste</v>
      </c>
      <c r="K18" s="1323">
        <v>13</v>
      </c>
      <c r="L18" s="1324" t="s">
        <v>211</v>
      </c>
      <c r="M18" s="1325">
        <v>6</v>
      </c>
      <c r="N18" s="1315" t="str">
        <f>B20</f>
        <v>Meelis Luud, Urmas Randlaine</v>
      </c>
      <c r="O18" s="1323">
        <v>7</v>
      </c>
      <c r="P18" s="1324" t="s">
        <v>211</v>
      </c>
      <c r="Q18" s="1325">
        <v>13</v>
      </c>
      <c r="R18" s="1315" t="str">
        <f>B12</f>
        <v>Elmo Lageda, Tõnu Piik</v>
      </c>
      <c r="S18" s="1323">
        <v>6</v>
      </c>
      <c r="T18" s="1324" t="s">
        <v>211</v>
      </c>
      <c r="U18" s="1325">
        <v>13</v>
      </c>
      <c r="V18" s="1315" t="str">
        <f>B10</f>
        <v>Aleksander Korikov, Fredi Müür</v>
      </c>
      <c r="W18" s="1323"/>
      <c r="X18" s="1324" t="s">
        <v>211</v>
      </c>
      <c r="Y18" s="1325"/>
      <c r="Z18" s="1315"/>
      <c r="AA18" s="1335">
        <f t="shared" si="0"/>
        <v>2</v>
      </c>
      <c r="AB18" s="1331"/>
      <c r="AC18" s="1323">
        <f t="shared" si="1"/>
        <v>44</v>
      </c>
      <c r="AD18" s="1324" t="s">
        <v>211</v>
      </c>
      <c r="AE18" s="1326">
        <f t="shared" si="2"/>
        <v>53</v>
      </c>
      <c r="AF18" s="1327">
        <f t="shared" si="3"/>
        <v>-9</v>
      </c>
      <c r="AG18" s="663"/>
      <c r="AH18" s="499">
        <f t="shared" si="9"/>
        <v>40</v>
      </c>
      <c r="AI18" s="605" t="str">
        <f t="shared" si="5"/>
        <v>Andrei Grintšak</v>
      </c>
      <c r="AJ18" s="604">
        <f>IFERROR(INDEX(V!$N:$N,MATCH(AI18,V!$I:$I,0)),"")</f>
        <v>33.5</v>
      </c>
      <c r="AK18" s="605" t="str">
        <f t="shared" si="6"/>
        <v>Daniil Alekankin</v>
      </c>
      <c r="AL18" s="604">
        <f>IFERROR(INDEX(V!$N:$N,MATCH(AK18,V!$I:$I,0)),"")</f>
        <v>6.5</v>
      </c>
      <c r="AM18" s="603" t="str">
        <f t="shared" si="7"/>
        <v/>
      </c>
      <c r="AN18" s="604" t="str">
        <f>IFERROR(INDEX(V!$N:$N,MATCH(AM18,V!$I:$I,0)),"")</f>
        <v/>
      </c>
      <c r="AO18" s="603" t="str">
        <f t="shared" si="8"/>
        <v/>
      </c>
      <c r="AP18" s="604" t="str">
        <f>IFERROR(INDEX(V!$N:$N,MATCH(AO18,V!$I:$I,0)),"")</f>
        <v/>
      </c>
    </row>
    <row r="19" spans="1:43" ht="12.75" customHeight="1" x14ac:dyDescent="0.2">
      <c r="A19" s="1319">
        <v>11</v>
      </c>
      <c r="B19" s="1353" t="s">
        <v>490</v>
      </c>
      <c r="C19" s="1323">
        <v>12</v>
      </c>
      <c r="D19" s="1324" t="s">
        <v>211</v>
      </c>
      <c r="E19" s="1325">
        <v>13</v>
      </c>
      <c r="F19" s="1315" t="str">
        <f>B11</f>
        <v>Mait Metsla, Matti Vinni</v>
      </c>
      <c r="G19" s="1323">
        <v>3</v>
      </c>
      <c r="H19" s="1324" t="s">
        <v>211</v>
      </c>
      <c r="I19" s="1325">
        <v>13</v>
      </c>
      <c r="J19" s="1315" t="str">
        <f>B14</f>
        <v>Enn Tokman, Tõnu Kapper</v>
      </c>
      <c r="K19" s="1323">
        <v>13</v>
      </c>
      <c r="L19" s="1324" t="s">
        <v>211</v>
      </c>
      <c r="M19" s="1325">
        <v>5</v>
      </c>
      <c r="N19" s="1315" t="str">
        <f>B22</f>
        <v>Aigi Orro, Kalle Orro</v>
      </c>
      <c r="O19" s="1323">
        <v>13</v>
      </c>
      <c r="P19" s="1324" t="s">
        <v>211</v>
      </c>
      <c r="Q19" s="1325">
        <v>12</v>
      </c>
      <c r="R19" s="1315" t="str">
        <f>B20</f>
        <v>Meelis Luud, Urmas Randlaine</v>
      </c>
      <c r="S19" s="1323">
        <v>7</v>
      </c>
      <c r="T19" s="1324" t="s">
        <v>211</v>
      </c>
      <c r="U19" s="1325">
        <v>13</v>
      </c>
      <c r="V19" s="1315" t="str">
        <f>B13</f>
        <v>Kenneth Muusikus, Väino Aul</v>
      </c>
      <c r="W19" s="1323"/>
      <c r="X19" s="1324" t="s">
        <v>211</v>
      </c>
      <c r="Y19" s="1325"/>
      <c r="Z19" s="1315"/>
      <c r="AA19" s="1335">
        <f t="shared" si="0"/>
        <v>2</v>
      </c>
      <c r="AB19" s="1331"/>
      <c r="AC19" s="1323">
        <f t="shared" si="1"/>
        <v>48</v>
      </c>
      <c r="AD19" s="1324" t="s">
        <v>211</v>
      </c>
      <c r="AE19" s="1326">
        <f t="shared" si="2"/>
        <v>56</v>
      </c>
      <c r="AF19" s="1327">
        <f t="shared" si="3"/>
        <v>-8</v>
      </c>
      <c r="AG19" s="663"/>
      <c r="AH19" s="499">
        <f t="shared" ref="AH19:AH23" si="10">SUM(AJ19:AP19)</f>
        <v>115.5</v>
      </c>
      <c r="AI19" s="605" t="str">
        <f t="shared" si="5"/>
        <v>Brigitta Neiland</v>
      </c>
      <c r="AJ19" s="604">
        <f>IFERROR(INDEX(V!$N:$N,MATCH(AI19,V!$I:$I,0)),"")</f>
        <v>22.5</v>
      </c>
      <c r="AK19" s="605" t="str">
        <f t="shared" si="6"/>
        <v>Einar Juhkam, Johannes Neiland</v>
      </c>
      <c r="AL19" s="604" t="str">
        <f>IFERROR(INDEX(V!$N:$N,MATCH(AK19,V!$I:$I,0)),"")</f>
        <v/>
      </c>
      <c r="AM19" s="603" t="str">
        <f t="shared" si="7"/>
        <v>Einar Juhkam</v>
      </c>
      <c r="AN19" s="604">
        <f>IFERROR(INDEX(V!$N:$N,MATCH(AM19,V!$I:$I,0)),"")</f>
        <v>34</v>
      </c>
      <c r="AO19" s="603" t="str">
        <f t="shared" si="8"/>
        <v>Johannes Neiland</v>
      </c>
      <c r="AP19" s="604">
        <f>IFERROR(INDEX(V!$N:$N,MATCH(AO19,V!$I:$I,0)),"")</f>
        <v>59</v>
      </c>
    </row>
    <row r="20" spans="1:43" ht="12.75" customHeight="1" x14ac:dyDescent="0.2">
      <c r="A20" s="1319">
        <v>13</v>
      </c>
      <c r="B20" s="1353" t="s">
        <v>439</v>
      </c>
      <c r="C20" s="1323">
        <v>7</v>
      </c>
      <c r="D20" s="1324" t="s">
        <v>211</v>
      </c>
      <c r="E20" s="1325">
        <v>13</v>
      </c>
      <c r="F20" s="1315" t="str">
        <f>B12</f>
        <v>Elmo Lageda, Tõnu Piik</v>
      </c>
      <c r="G20" s="1323">
        <v>13</v>
      </c>
      <c r="H20" s="1324" t="s">
        <v>211</v>
      </c>
      <c r="I20" s="1325">
        <v>6</v>
      </c>
      <c r="J20" s="1315" t="str">
        <f>B21</f>
        <v>Karla Purgats, Lemmit Toomra</v>
      </c>
      <c r="K20" s="1323">
        <v>6</v>
      </c>
      <c r="L20" s="1324" t="s">
        <v>211</v>
      </c>
      <c r="M20" s="1325">
        <v>13</v>
      </c>
      <c r="N20" s="1315" t="str">
        <f>B18</f>
        <v>Andrei Grintšak, Daniil Alekankin</v>
      </c>
      <c r="O20" s="1323">
        <v>12</v>
      </c>
      <c r="P20" s="1324" t="s">
        <v>211</v>
      </c>
      <c r="Q20" s="1325">
        <v>13</v>
      </c>
      <c r="R20" s="1315" t="str">
        <f>B19</f>
        <v>Brigitta Neiland, Einar Juhkam, Johannes Neiland</v>
      </c>
      <c r="S20" s="1323">
        <v>12</v>
      </c>
      <c r="T20" s="1324" t="s">
        <v>211</v>
      </c>
      <c r="U20" s="1325">
        <v>13</v>
      </c>
      <c r="V20" s="1315" t="str">
        <f>B22</f>
        <v>Aigi Orro, Kalle Orro</v>
      </c>
      <c r="W20" s="1323"/>
      <c r="X20" s="1324" t="s">
        <v>211</v>
      </c>
      <c r="Y20" s="1325"/>
      <c r="Z20" s="1315"/>
      <c r="AA20" s="1330">
        <f t="shared" si="0"/>
        <v>1</v>
      </c>
      <c r="AB20" s="1331"/>
      <c r="AC20" s="1323">
        <f t="shared" si="1"/>
        <v>50</v>
      </c>
      <c r="AD20" s="1324" t="s">
        <v>211</v>
      </c>
      <c r="AE20" s="1326">
        <f t="shared" si="2"/>
        <v>58</v>
      </c>
      <c r="AF20" s="1327">
        <f t="shared" si="3"/>
        <v>-8</v>
      </c>
      <c r="AG20" s="663"/>
      <c r="AH20" s="499">
        <f t="shared" si="10"/>
        <v>114</v>
      </c>
      <c r="AI20" s="605" t="str">
        <f t="shared" si="5"/>
        <v>Meelis Luud</v>
      </c>
      <c r="AJ20" s="604">
        <f>IFERROR(INDEX(V!$N:$N,MATCH(AI20,V!$I:$I,0)),"")</f>
        <v>60.5</v>
      </c>
      <c r="AK20" s="605" t="str">
        <f t="shared" si="6"/>
        <v>Urmas Randlaine</v>
      </c>
      <c r="AL20" s="604">
        <f>IFERROR(INDEX(V!$N:$N,MATCH(AK20,V!$I:$I,0)),"")</f>
        <v>53.5</v>
      </c>
      <c r="AM20" s="603" t="str">
        <f t="shared" si="7"/>
        <v/>
      </c>
      <c r="AN20" s="604" t="str">
        <f>IFERROR(INDEX(V!$N:$N,MATCH(AM20,V!$I:$I,0)),"")</f>
        <v/>
      </c>
      <c r="AO20" s="603" t="str">
        <f t="shared" si="8"/>
        <v/>
      </c>
      <c r="AP20" s="604" t="str">
        <f>IFERROR(INDEX(V!$N:$N,MATCH(AO20,V!$I:$I,0)),"")</f>
        <v/>
      </c>
    </row>
    <row r="21" spans="1:43" ht="12.75" customHeight="1" x14ac:dyDescent="0.2">
      <c r="A21" s="1319">
        <v>14</v>
      </c>
      <c r="B21" s="1353" t="s">
        <v>441</v>
      </c>
      <c r="C21" s="1323">
        <v>2</v>
      </c>
      <c r="D21" s="1324" t="s">
        <v>211</v>
      </c>
      <c r="E21" s="1325">
        <v>13</v>
      </c>
      <c r="F21" s="1315" t="str">
        <f>B8</f>
        <v>Ivar Viljaste, Sirje Viljaste</v>
      </c>
      <c r="G21" s="1323">
        <v>6</v>
      </c>
      <c r="H21" s="1324" t="s">
        <v>211</v>
      </c>
      <c r="I21" s="1325">
        <v>13</v>
      </c>
      <c r="J21" s="1315" t="str">
        <f>B20</f>
        <v>Meelis Luud, Urmas Randlaine</v>
      </c>
      <c r="K21" s="1323">
        <v>13</v>
      </c>
      <c r="L21" s="1324" t="s">
        <v>211</v>
      </c>
      <c r="M21" s="1325">
        <v>2</v>
      </c>
      <c r="N21" s="1315" t="str">
        <f>B23</f>
        <v>Andres Veski, Svetlana Veski</v>
      </c>
      <c r="O21" s="1323">
        <v>12</v>
      </c>
      <c r="P21" s="1324" t="s">
        <v>211</v>
      </c>
      <c r="Q21" s="1325">
        <v>13</v>
      </c>
      <c r="R21" s="1315" t="str">
        <f>B15</f>
        <v>Oksana Sažina, Oleg Rõndenkov</v>
      </c>
      <c r="S21" s="1323">
        <v>5</v>
      </c>
      <c r="T21" s="1324" t="s">
        <v>211</v>
      </c>
      <c r="U21" s="1325">
        <v>13</v>
      </c>
      <c r="V21" s="1315" t="str">
        <f>B16</f>
        <v>Anna Romanenko, Tarmo Müür</v>
      </c>
      <c r="W21" s="1323"/>
      <c r="X21" s="1324" t="s">
        <v>211</v>
      </c>
      <c r="Y21" s="1325"/>
      <c r="Z21" s="1315"/>
      <c r="AA21" s="1330">
        <f t="shared" si="0"/>
        <v>1</v>
      </c>
      <c r="AB21" s="1331"/>
      <c r="AC21" s="1323">
        <f t="shared" si="1"/>
        <v>38</v>
      </c>
      <c r="AD21" s="1324" t="s">
        <v>211</v>
      </c>
      <c r="AE21" s="1326">
        <f t="shared" si="2"/>
        <v>54</v>
      </c>
      <c r="AF21" s="1327">
        <f t="shared" si="3"/>
        <v>-16</v>
      </c>
      <c r="AG21" s="663"/>
      <c r="AH21" s="499">
        <f t="shared" si="10"/>
        <v>92</v>
      </c>
      <c r="AI21" s="605" t="str">
        <f t="shared" si="5"/>
        <v>Karla Purgats</v>
      </c>
      <c r="AJ21" s="604">
        <f>IFERROR(INDEX(V!$N:$N,MATCH(AI21,V!$I:$I,0)),"")</f>
        <v>46.5</v>
      </c>
      <c r="AK21" s="605" t="str">
        <f t="shared" si="6"/>
        <v>Lemmit Toomra</v>
      </c>
      <c r="AL21" s="604">
        <f>IFERROR(INDEX(V!$N:$N,MATCH(AK21,V!$I:$I,0)),"")</f>
        <v>45.5</v>
      </c>
      <c r="AM21" s="603" t="str">
        <f t="shared" si="7"/>
        <v/>
      </c>
      <c r="AN21" s="604" t="str">
        <f>IFERROR(INDEX(V!$N:$N,MATCH(AM21,V!$I:$I,0)),"")</f>
        <v/>
      </c>
      <c r="AO21" s="603" t="str">
        <f t="shared" si="8"/>
        <v/>
      </c>
      <c r="AP21" s="604" t="str">
        <f>IFERROR(INDEX(V!$N:$N,MATCH(AO21,V!$I:$I,0)),"")</f>
        <v/>
      </c>
    </row>
    <row r="22" spans="1:43" ht="12.75" customHeight="1" x14ac:dyDescent="0.2">
      <c r="A22" s="1319">
        <v>15</v>
      </c>
      <c r="B22" s="1353" t="s">
        <v>37</v>
      </c>
      <c r="C22" s="1323">
        <v>6</v>
      </c>
      <c r="D22" s="1324" t="s">
        <v>211</v>
      </c>
      <c r="E22" s="1325">
        <v>13</v>
      </c>
      <c r="F22" s="1315" t="str">
        <f>B17</f>
        <v>Argo Sepp, Jaan Sepp</v>
      </c>
      <c r="G22" s="1323">
        <v>1</v>
      </c>
      <c r="H22" s="1324" t="s">
        <v>211</v>
      </c>
      <c r="I22" s="1325">
        <v>13</v>
      </c>
      <c r="J22" s="1315" t="str">
        <f>B16</f>
        <v>Anna Romanenko, Tarmo Müür</v>
      </c>
      <c r="K22" s="1323">
        <v>5</v>
      </c>
      <c r="L22" s="1324" t="s">
        <v>211</v>
      </c>
      <c r="M22" s="1325">
        <v>13</v>
      </c>
      <c r="N22" s="1315" t="str">
        <f>B19</f>
        <v>Brigitta Neiland, Einar Juhkam, Johannes Neiland</v>
      </c>
      <c r="O22" s="1323">
        <v>8</v>
      </c>
      <c r="P22" s="1324" t="s">
        <v>211</v>
      </c>
      <c r="Q22" s="1325">
        <v>13</v>
      </c>
      <c r="R22" s="1315" t="str">
        <f>B23</f>
        <v>Andres Veski, Svetlana Veski</v>
      </c>
      <c r="S22" s="1323">
        <v>13</v>
      </c>
      <c r="T22" s="1324" t="s">
        <v>211</v>
      </c>
      <c r="U22" s="1325">
        <v>12</v>
      </c>
      <c r="V22" s="1315" t="str">
        <f>B20</f>
        <v>Meelis Luud, Urmas Randlaine</v>
      </c>
      <c r="W22" s="1323"/>
      <c r="X22" s="1324" t="s">
        <v>211</v>
      </c>
      <c r="Y22" s="1325"/>
      <c r="Z22" s="1315"/>
      <c r="AA22" s="1330">
        <f t="shared" si="0"/>
        <v>1</v>
      </c>
      <c r="AB22" s="1331"/>
      <c r="AC22" s="1323">
        <f t="shared" si="1"/>
        <v>33</v>
      </c>
      <c r="AD22" s="1324" t="s">
        <v>211</v>
      </c>
      <c r="AE22" s="1326">
        <f t="shared" si="2"/>
        <v>64</v>
      </c>
      <c r="AF22" s="1327">
        <f t="shared" si="3"/>
        <v>-31</v>
      </c>
      <c r="AG22" s="663"/>
      <c r="AH22" s="499">
        <f t="shared" si="10"/>
        <v>47</v>
      </c>
      <c r="AI22" s="605" t="str">
        <f t="shared" si="5"/>
        <v>Aigi Orro</v>
      </c>
      <c r="AJ22" s="604">
        <f>IFERROR(INDEX(V!$N:$N,MATCH(AI22,V!$I:$I,0)),"")</f>
        <v>23.5</v>
      </c>
      <c r="AK22" s="605" t="str">
        <f t="shared" si="6"/>
        <v>Kalle Orro</v>
      </c>
      <c r="AL22" s="604">
        <f>IFERROR(INDEX(V!$N:$N,MATCH(AK22,V!$I:$I,0)),"")</f>
        <v>23.5</v>
      </c>
      <c r="AM22" s="603" t="str">
        <f t="shared" si="7"/>
        <v/>
      </c>
      <c r="AN22" s="604" t="str">
        <f>IFERROR(INDEX(V!$N:$N,MATCH(AM22,V!$I:$I,0)),"")</f>
        <v/>
      </c>
      <c r="AO22" s="603" t="str">
        <f t="shared" si="8"/>
        <v/>
      </c>
      <c r="AP22" s="604" t="str">
        <f>IFERROR(INDEX(V!$N:$N,MATCH(AO22,V!$I:$I,0)),"")</f>
        <v/>
      </c>
    </row>
    <row r="23" spans="1:43" ht="12.75" customHeight="1" x14ac:dyDescent="0.2">
      <c r="A23" s="1319">
        <v>16</v>
      </c>
      <c r="B23" s="1353" t="s">
        <v>491</v>
      </c>
      <c r="C23" s="1323">
        <v>5</v>
      </c>
      <c r="D23" s="1324" t="s">
        <v>211</v>
      </c>
      <c r="E23" s="1325">
        <v>13</v>
      </c>
      <c r="F23" s="1315" t="str">
        <f>B9</f>
        <v>Henri Mitt, Urmas Jõeäär</v>
      </c>
      <c r="G23" s="1323">
        <v>11</v>
      </c>
      <c r="H23" s="1324" t="s">
        <v>211</v>
      </c>
      <c r="I23" s="1325">
        <v>13</v>
      </c>
      <c r="J23" s="1315" t="str">
        <f>B15</f>
        <v>Oksana Sažina, Oleg Rõndenkov</v>
      </c>
      <c r="K23" s="1323">
        <v>2</v>
      </c>
      <c r="L23" s="1324" t="s">
        <v>211</v>
      </c>
      <c r="M23" s="1325">
        <v>13</v>
      </c>
      <c r="N23" s="1315" t="str">
        <f>B21</f>
        <v>Karla Purgats, Lemmit Toomra</v>
      </c>
      <c r="O23" s="1323">
        <v>13</v>
      </c>
      <c r="P23" s="1324" t="s">
        <v>211</v>
      </c>
      <c r="Q23" s="1325">
        <v>8</v>
      </c>
      <c r="R23" s="1315" t="str">
        <f>B22</f>
        <v>Aigi Orro, Kalle Orro</v>
      </c>
      <c r="S23" s="1323">
        <v>6</v>
      </c>
      <c r="T23" s="1324" t="s">
        <v>211</v>
      </c>
      <c r="U23" s="1325">
        <v>13</v>
      </c>
      <c r="V23" s="1315" t="str">
        <f>B14</f>
        <v>Enn Tokman, Tõnu Kapper</v>
      </c>
      <c r="W23" s="1323"/>
      <c r="X23" s="1324" t="s">
        <v>211</v>
      </c>
      <c r="Y23" s="1325"/>
      <c r="Z23" s="1315"/>
      <c r="AA23" s="1330">
        <f t="shared" si="0"/>
        <v>1</v>
      </c>
      <c r="AB23" s="1331"/>
      <c r="AC23" s="1323">
        <f t="shared" si="1"/>
        <v>37</v>
      </c>
      <c r="AD23" s="1324" t="s">
        <v>211</v>
      </c>
      <c r="AE23" s="1326">
        <f t="shared" si="2"/>
        <v>60</v>
      </c>
      <c r="AF23" s="1327">
        <f t="shared" si="3"/>
        <v>-23</v>
      </c>
      <c r="AG23" s="663"/>
      <c r="AH23" s="499">
        <f t="shared" si="10"/>
        <v>57</v>
      </c>
      <c r="AI23" s="605" t="str">
        <f t="shared" si="5"/>
        <v>Andres Veski</v>
      </c>
      <c r="AJ23" s="604">
        <f>IFERROR(INDEX(V!$N:$N,MATCH(AI23,V!$I:$I,0)),"")</f>
        <v>29</v>
      </c>
      <c r="AK23" s="605" t="str">
        <f t="shared" si="6"/>
        <v>Svetlana Veski</v>
      </c>
      <c r="AL23" s="604">
        <f>IFERROR(INDEX(V!$N:$N,MATCH(AK23,V!$I:$I,0)),"")</f>
        <v>28</v>
      </c>
      <c r="AM23" s="603" t="str">
        <f t="shared" si="7"/>
        <v/>
      </c>
      <c r="AN23" s="604" t="str">
        <f>IFERROR(INDEX(V!$N:$N,MATCH(AM23,V!$I:$I,0)),"")</f>
        <v/>
      </c>
      <c r="AO23" s="603" t="str">
        <f t="shared" si="8"/>
        <v/>
      </c>
      <c r="AP23" s="604" t="str">
        <f>IFERROR(INDEX(V!$N:$N,MATCH(AO23,V!$I:$I,0)),"")</f>
        <v/>
      </c>
    </row>
    <row r="24" spans="1:43" ht="12.75" hidden="1" customHeight="1" x14ac:dyDescent="0.2">
      <c r="A24" s="42"/>
      <c r="B24" s="42"/>
      <c r="C24" s="42"/>
      <c r="D24" s="42"/>
      <c r="E24" s="42"/>
      <c r="F24" s="42"/>
      <c r="G24" s="42"/>
      <c r="H24" s="42"/>
      <c r="I24" s="42"/>
      <c r="J24" s="42"/>
      <c r="K24" s="42"/>
      <c r="O24" s="42"/>
      <c r="P24" s="42"/>
      <c r="Q24" s="42"/>
      <c r="R24" s="42"/>
      <c r="S24" s="42"/>
      <c r="X24" s="42"/>
      <c r="Y24" s="42"/>
      <c r="Z24" s="42"/>
      <c r="AA24" s="42"/>
      <c r="AB24" s="42"/>
      <c r="AC24" s="42"/>
      <c r="AD24" s="42"/>
      <c r="AE24" s="42"/>
      <c r="AF24" s="42"/>
      <c r="AG24" s="42"/>
      <c r="AH24" s="42"/>
      <c r="AI24" s="42"/>
      <c r="AJ24" s="42"/>
      <c r="AK24" s="42"/>
      <c r="AL24" s="42"/>
      <c r="AM24" s="42"/>
      <c r="AN24" s="42"/>
      <c r="AO24" s="42"/>
      <c r="AP24" s="42"/>
      <c r="AQ24" s="42"/>
    </row>
    <row r="25" spans="1:43" ht="12.75" hidden="1" customHeight="1" x14ac:dyDescent="0.2">
      <c r="A25" s="42"/>
      <c r="B25" s="42"/>
      <c r="C25" s="42"/>
      <c r="D25" s="42"/>
      <c r="E25" s="42"/>
      <c r="F25" s="42"/>
      <c r="G25" s="42"/>
      <c r="H25" s="42"/>
      <c r="I25" s="42"/>
      <c r="J25" s="42"/>
      <c r="K25" s="42"/>
      <c r="O25" s="42"/>
      <c r="P25" s="42"/>
      <c r="Q25" s="42"/>
      <c r="R25" s="42"/>
      <c r="S25" s="42"/>
      <c r="X25" s="42"/>
      <c r="Y25" s="42"/>
      <c r="Z25" s="42"/>
      <c r="AA25" s="42"/>
      <c r="AB25" s="42"/>
      <c r="AC25" s="42"/>
      <c r="AD25" s="42"/>
      <c r="AE25" s="42"/>
      <c r="AF25" s="42"/>
      <c r="AG25" s="42"/>
      <c r="AH25" s="42"/>
      <c r="AI25" s="42"/>
      <c r="AJ25" s="42"/>
      <c r="AK25" s="42"/>
      <c r="AL25" s="42"/>
      <c r="AM25" s="42"/>
      <c r="AN25" s="42"/>
      <c r="AO25" s="42"/>
      <c r="AP25" s="42"/>
      <c r="AQ25" s="42"/>
    </row>
    <row r="26" spans="1:43" ht="12.75" hidden="1" customHeight="1" x14ac:dyDescent="0.2">
      <c r="A26" s="42"/>
      <c r="B26" s="42"/>
      <c r="C26" s="42"/>
      <c r="D26" s="42"/>
      <c r="E26" s="42"/>
      <c r="F26" s="1360"/>
      <c r="G26" s="1360"/>
      <c r="H26" s="1360"/>
      <c r="I26" s="1360"/>
      <c r="J26" s="1360"/>
      <c r="K26" s="42"/>
      <c r="O26" s="42"/>
      <c r="P26" s="42"/>
      <c r="Q26" s="42"/>
      <c r="R26" s="42"/>
      <c r="S26" s="42"/>
      <c r="X26" s="42"/>
      <c r="Y26" s="42"/>
      <c r="Z26" s="42"/>
      <c r="AA26" s="42"/>
      <c r="AB26" s="42"/>
      <c r="AC26" s="42"/>
      <c r="AD26" s="42"/>
      <c r="AE26" s="42"/>
      <c r="AF26" s="42"/>
      <c r="AG26" s="42"/>
      <c r="AH26" s="42"/>
      <c r="AI26" s="42"/>
      <c r="AJ26" s="42"/>
      <c r="AK26" s="42"/>
      <c r="AL26" s="42"/>
      <c r="AM26" s="42"/>
      <c r="AN26" s="42"/>
      <c r="AO26" s="42"/>
      <c r="AP26" s="42"/>
      <c r="AQ26" s="42"/>
    </row>
    <row r="27" spans="1:43" ht="12.75" hidden="1" customHeight="1" x14ac:dyDescent="0.2">
      <c r="A27" s="42"/>
      <c r="B27" s="42"/>
      <c r="C27" s="42"/>
      <c r="D27" s="42"/>
      <c r="E27" s="42"/>
      <c r="F27" s="1360"/>
      <c r="G27" s="1360"/>
      <c r="H27" s="1360"/>
      <c r="I27" s="1360"/>
      <c r="J27" s="1360"/>
      <c r="K27" s="42"/>
      <c r="O27" s="42"/>
      <c r="P27" s="42"/>
      <c r="Q27" s="42"/>
      <c r="R27" s="42"/>
      <c r="S27" s="42"/>
      <c r="X27" s="42"/>
      <c r="Y27" s="42"/>
      <c r="Z27" s="42"/>
      <c r="AA27" s="42"/>
      <c r="AB27" s="42"/>
      <c r="AC27" s="42"/>
      <c r="AD27" s="42"/>
      <c r="AE27" s="42"/>
      <c r="AF27" s="42"/>
      <c r="AG27" s="42"/>
      <c r="AH27" s="42"/>
      <c r="AI27" s="42"/>
      <c r="AJ27" s="42"/>
      <c r="AK27" s="42"/>
      <c r="AL27" s="42"/>
      <c r="AM27" s="42"/>
      <c r="AN27" s="42"/>
      <c r="AO27" s="42"/>
      <c r="AP27" s="42"/>
      <c r="AQ27" s="42"/>
    </row>
    <row r="28" spans="1:43" ht="12.75" hidden="1" customHeight="1" x14ac:dyDescent="0.2">
      <c r="F28" s="1360"/>
      <c r="G28" s="1360"/>
      <c r="H28" s="1360"/>
      <c r="I28" s="1360"/>
      <c r="J28" s="1360"/>
      <c r="L28" s="32"/>
      <c r="M28" s="32"/>
      <c r="N28" s="32"/>
      <c r="T28" s="32"/>
      <c r="U28" s="32"/>
      <c r="V28" s="32"/>
      <c r="W28" s="223"/>
    </row>
    <row r="29" spans="1:43" ht="12.75" hidden="1" customHeight="1" x14ac:dyDescent="0.2">
      <c r="F29" s="1360"/>
      <c r="G29" s="1360"/>
      <c r="H29" s="1360"/>
      <c r="I29" s="1360"/>
      <c r="J29" s="1360"/>
      <c r="L29" s="32"/>
      <c r="M29" s="32"/>
      <c r="N29" s="32"/>
      <c r="T29" s="32"/>
      <c r="U29" s="32"/>
      <c r="V29" s="32"/>
      <c r="W29" s="223"/>
    </row>
    <row r="30" spans="1:43" ht="12.75" hidden="1" customHeight="1" x14ac:dyDescent="0.2">
      <c r="F30" s="1360"/>
      <c r="G30" s="1360"/>
      <c r="H30" s="1360"/>
      <c r="I30" s="1360"/>
      <c r="J30" s="1360"/>
      <c r="L30" s="32"/>
      <c r="M30" s="32"/>
      <c r="N30" s="32"/>
      <c r="T30" s="32"/>
      <c r="U30" s="32"/>
      <c r="V30" s="32"/>
      <c r="W30" s="223"/>
    </row>
    <row r="31" spans="1:43" ht="12.75" hidden="1" customHeight="1" x14ac:dyDescent="0.2">
      <c r="F31" s="1360"/>
      <c r="G31" s="1360"/>
      <c r="H31" s="1360"/>
      <c r="I31" s="1360"/>
      <c r="J31" s="1360"/>
      <c r="L31" s="32"/>
      <c r="M31" s="32"/>
      <c r="N31" s="32"/>
      <c r="T31" s="32"/>
      <c r="U31" s="32"/>
      <c r="V31" s="32"/>
      <c r="W31" s="223"/>
    </row>
    <row r="32" spans="1:43" ht="12.75" hidden="1" customHeight="1" x14ac:dyDescent="0.2">
      <c r="F32" s="1360"/>
      <c r="G32" s="1360"/>
      <c r="H32" s="1360"/>
      <c r="I32" s="1360"/>
      <c r="J32" s="1360"/>
      <c r="L32" s="32"/>
      <c r="M32" s="32"/>
      <c r="N32" s="32"/>
      <c r="T32" s="32"/>
      <c r="U32" s="32"/>
      <c r="V32" s="32"/>
      <c r="W32" s="223"/>
    </row>
    <row r="33" spans="6:23" ht="12.75" hidden="1" customHeight="1" x14ac:dyDescent="0.2">
      <c r="F33" s="1360"/>
      <c r="G33" s="1360"/>
      <c r="H33" s="1360"/>
      <c r="I33" s="1360"/>
      <c r="J33" s="1360"/>
      <c r="L33" s="32"/>
      <c r="M33" s="32"/>
      <c r="N33" s="32"/>
      <c r="T33" s="32"/>
      <c r="U33" s="32"/>
      <c r="V33" s="32"/>
      <c r="W33" s="223"/>
    </row>
    <row r="34" spans="6:23" ht="12.75" hidden="1" customHeight="1" x14ac:dyDescent="0.2">
      <c r="F34" s="1360"/>
      <c r="G34" s="1360"/>
      <c r="H34" s="1360"/>
      <c r="I34" s="1360"/>
      <c r="J34" s="1360"/>
      <c r="L34" s="32"/>
      <c r="M34" s="32"/>
      <c r="N34" s="32"/>
      <c r="T34" s="32"/>
      <c r="U34" s="32"/>
      <c r="V34" s="32"/>
      <c r="W34" s="223"/>
    </row>
    <row r="35" spans="6:23" ht="12.75" hidden="1" customHeight="1" x14ac:dyDescent="0.2">
      <c r="F35" s="1360"/>
      <c r="G35" s="1360"/>
      <c r="H35" s="1360"/>
      <c r="I35" s="1360"/>
      <c r="J35" s="1360"/>
      <c r="L35" s="32"/>
      <c r="M35" s="32"/>
      <c r="N35" s="32"/>
      <c r="T35" s="32"/>
      <c r="U35" s="32"/>
      <c r="V35" s="32"/>
      <c r="W35" s="223"/>
    </row>
    <row r="36" spans="6:23" ht="12.75" hidden="1" customHeight="1" x14ac:dyDescent="0.2">
      <c r="F36" s="1360"/>
      <c r="G36" s="1360"/>
      <c r="H36" s="1360"/>
      <c r="I36" s="1360"/>
      <c r="J36" s="1360"/>
      <c r="L36" s="32"/>
      <c r="M36" s="32"/>
      <c r="N36" s="32"/>
      <c r="T36" s="32"/>
      <c r="U36" s="32"/>
      <c r="V36" s="32"/>
      <c r="W36" s="223"/>
    </row>
    <row r="37" spans="6:23" ht="12.75" hidden="1" customHeight="1" x14ac:dyDescent="0.2">
      <c r="F37" s="1360"/>
      <c r="G37" s="1360"/>
      <c r="H37" s="1360"/>
      <c r="I37" s="1360"/>
      <c r="J37" s="1360"/>
      <c r="L37" s="32"/>
      <c r="M37" s="32"/>
      <c r="N37" s="32"/>
      <c r="T37" s="32"/>
      <c r="U37" s="32"/>
      <c r="V37" s="32"/>
      <c r="W37" s="223"/>
    </row>
    <row r="38" spans="6:23" ht="12.75" hidden="1" customHeight="1" x14ac:dyDescent="0.2">
      <c r="F38" s="1360"/>
      <c r="G38" s="1360"/>
      <c r="H38" s="1360"/>
      <c r="I38" s="1360"/>
      <c r="J38" s="1360"/>
      <c r="L38" s="32"/>
      <c r="M38" s="32"/>
      <c r="N38" s="32"/>
      <c r="T38" s="32"/>
      <c r="U38" s="32"/>
      <c r="V38" s="32"/>
      <c r="W38" s="223"/>
    </row>
    <row r="39" spans="6:23" ht="12.75" hidden="1" customHeight="1" x14ac:dyDescent="0.2">
      <c r="F39" s="1360"/>
      <c r="G39" s="1360"/>
      <c r="H39" s="1360"/>
      <c r="I39" s="1360"/>
      <c r="J39" s="1360"/>
      <c r="L39" s="32"/>
      <c r="M39" s="32"/>
      <c r="N39" s="32"/>
      <c r="T39" s="32"/>
      <c r="U39" s="32"/>
      <c r="V39" s="32"/>
      <c r="W39" s="223"/>
    </row>
    <row r="40" spans="6:23" ht="12.75" hidden="1" customHeight="1" x14ac:dyDescent="0.2">
      <c r="F40" s="1360"/>
      <c r="G40" s="1360"/>
      <c r="H40" s="1360"/>
      <c r="I40" s="1360"/>
      <c r="J40" s="1360"/>
      <c r="L40" s="32"/>
      <c r="M40" s="32"/>
      <c r="N40" s="32"/>
      <c r="T40" s="32"/>
      <c r="U40" s="32"/>
      <c r="V40" s="32"/>
      <c r="W40" s="223"/>
    </row>
    <row r="41" spans="6:23" ht="12.75" hidden="1" customHeight="1" x14ac:dyDescent="0.2">
      <c r="F41" s="1360"/>
      <c r="G41" s="1360"/>
      <c r="H41" s="1360"/>
      <c r="I41" s="1360"/>
      <c r="J41" s="1360"/>
      <c r="L41" s="32"/>
      <c r="M41" s="32"/>
      <c r="N41" s="32"/>
      <c r="T41" s="32"/>
      <c r="U41" s="32"/>
      <c r="V41" s="32"/>
      <c r="W41" s="223"/>
    </row>
    <row r="42" spans="6:23" ht="12.75" hidden="1" customHeight="1" x14ac:dyDescent="0.2">
      <c r="F42" s="1360"/>
      <c r="G42" s="1360"/>
      <c r="H42" s="1360"/>
      <c r="I42" s="1360"/>
      <c r="J42" s="1360"/>
      <c r="L42" s="32"/>
      <c r="M42" s="32"/>
      <c r="N42" s="32"/>
      <c r="T42" s="32"/>
      <c r="U42" s="32"/>
      <c r="V42" s="32"/>
      <c r="W42" s="223"/>
    </row>
    <row r="43" spans="6:23" ht="12.75" hidden="1" customHeight="1" x14ac:dyDescent="0.2">
      <c r="F43" s="1360"/>
      <c r="G43" s="1360"/>
      <c r="H43" s="1360"/>
      <c r="I43" s="1360"/>
      <c r="J43" s="1360"/>
      <c r="L43" s="32"/>
      <c r="M43" s="32"/>
      <c r="N43" s="32"/>
      <c r="T43" s="32"/>
      <c r="U43" s="32"/>
      <c r="V43" s="32"/>
      <c r="W43" s="223"/>
    </row>
    <row r="44" spans="6:23" ht="12.75" hidden="1" customHeight="1" x14ac:dyDescent="0.2">
      <c r="F44" s="1360"/>
      <c r="G44" s="1360"/>
      <c r="H44" s="1360"/>
      <c r="I44" s="1360"/>
      <c r="J44" s="1360"/>
      <c r="L44" s="32"/>
      <c r="M44" s="32"/>
      <c r="N44" s="32"/>
      <c r="T44" s="32"/>
      <c r="U44" s="32"/>
      <c r="V44" s="32"/>
      <c r="W44" s="223"/>
    </row>
    <row r="45" spans="6:23" ht="12.75" hidden="1" customHeight="1" x14ac:dyDescent="0.2">
      <c r="F45" s="1360"/>
      <c r="G45" s="1360"/>
      <c r="H45" s="1360"/>
      <c r="I45" s="1360"/>
      <c r="J45" s="1360"/>
      <c r="L45" s="32"/>
      <c r="M45" s="32"/>
      <c r="N45" s="32"/>
      <c r="T45" s="32"/>
      <c r="U45" s="32"/>
      <c r="V45" s="32"/>
      <c r="W45" s="223"/>
    </row>
    <row r="46" spans="6:23" ht="12.75" hidden="1" customHeight="1" x14ac:dyDescent="0.2">
      <c r="F46" s="1360"/>
      <c r="G46" s="1360"/>
      <c r="H46" s="1360"/>
      <c r="I46" s="1360"/>
      <c r="J46" s="1360"/>
      <c r="L46" s="32"/>
      <c r="M46" s="32"/>
      <c r="N46" s="32"/>
      <c r="T46" s="32"/>
      <c r="U46" s="32"/>
      <c r="V46" s="32"/>
      <c r="W46" s="223"/>
    </row>
    <row r="47" spans="6:23" ht="12.75" hidden="1" customHeight="1" x14ac:dyDescent="0.2">
      <c r="F47" s="1360"/>
      <c r="G47" s="1360"/>
      <c r="H47" s="1360"/>
      <c r="I47" s="1360"/>
      <c r="J47" s="1360"/>
      <c r="L47" s="32"/>
      <c r="M47" s="32"/>
      <c r="N47" s="32"/>
      <c r="T47" s="32"/>
      <c r="U47" s="32"/>
      <c r="V47" s="32"/>
      <c r="W47" s="223"/>
    </row>
    <row r="48" spans="6:23" ht="12.75" hidden="1" customHeight="1" x14ac:dyDescent="0.2">
      <c r="F48" s="1360"/>
      <c r="G48" s="1360"/>
      <c r="H48" s="1360"/>
      <c r="I48" s="1360"/>
      <c r="J48" s="1360"/>
      <c r="L48" s="32"/>
      <c r="M48" s="32"/>
      <c r="N48" s="32"/>
      <c r="T48" s="32"/>
      <c r="U48" s="32"/>
      <c r="V48" s="32"/>
      <c r="W48" s="223"/>
    </row>
    <row r="49" spans="6:23" ht="12.75" hidden="1" customHeight="1" x14ac:dyDescent="0.2">
      <c r="F49" s="1360"/>
      <c r="G49" s="1360"/>
      <c r="H49" s="1360"/>
      <c r="I49" s="1360"/>
      <c r="J49" s="1360"/>
      <c r="L49" s="32"/>
      <c r="M49" s="32"/>
      <c r="N49" s="32"/>
      <c r="T49" s="32"/>
      <c r="U49" s="32"/>
      <c r="V49" s="32"/>
      <c r="W49" s="223"/>
    </row>
    <row r="50" spans="6:23" ht="12.75" hidden="1" customHeight="1" x14ac:dyDescent="0.2">
      <c r="F50" s="1360"/>
      <c r="G50" s="1360"/>
      <c r="H50" s="1360"/>
      <c r="I50" s="1360"/>
      <c r="J50" s="1360"/>
      <c r="L50" s="32"/>
      <c r="M50" s="32"/>
      <c r="N50" s="32"/>
      <c r="T50" s="32"/>
      <c r="U50" s="32"/>
      <c r="V50" s="32"/>
      <c r="W50" s="223"/>
    </row>
    <row r="51" spans="6:23" ht="12.75" hidden="1" customHeight="1" x14ac:dyDescent="0.2">
      <c r="F51" s="1360"/>
      <c r="G51" s="1360"/>
      <c r="H51" s="1360"/>
      <c r="I51" s="1360"/>
      <c r="J51" s="1360"/>
      <c r="L51" s="32"/>
      <c r="M51" s="32"/>
      <c r="N51" s="32"/>
      <c r="T51" s="32"/>
      <c r="U51" s="32"/>
      <c r="V51" s="32"/>
      <c r="W51" s="223"/>
    </row>
    <row r="52" spans="6:23" ht="12.75" hidden="1" customHeight="1" x14ac:dyDescent="0.2">
      <c r="F52" s="1360"/>
      <c r="G52" s="1360"/>
      <c r="H52" s="1360"/>
      <c r="I52" s="1360"/>
      <c r="J52" s="1360"/>
      <c r="L52" s="32"/>
      <c r="M52" s="32"/>
      <c r="N52" s="32"/>
      <c r="T52" s="32"/>
      <c r="U52" s="32"/>
      <c r="V52" s="32"/>
      <c r="W52" s="223"/>
    </row>
    <row r="53" spans="6:23" ht="12.75" hidden="1" customHeight="1" x14ac:dyDescent="0.2">
      <c r="F53" s="1360"/>
      <c r="G53" s="1360"/>
      <c r="H53" s="1360"/>
      <c r="I53" s="1360"/>
      <c r="J53" s="1360"/>
      <c r="L53" s="32"/>
      <c r="M53" s="32"/>
      <c r="N53" s="32"/>
      <c r="T53" s="32"/>
      <c r="U53" s="32"/>
      <c r="V53" s="32"/>
      <c r="W53" s="223"/>
    </row>
    <row r="54" spans="6:23" ht="12.75" hidden="1" customHeight="1" x14ac:dyDescent="0.2">
      <c r="F54" s="1360"/>
      <c r="G54" s="1360"/>
      <c r="H54" s="1360"/>
      <c r="I54" s="1360"/>
      <c r="J54" s="1360"/>
      <c r="L54" s="32"/>
      <c r="M54" s="32"/>
      <c r="N54" s="32"/>
      <c r="T54" s="32"/>
      <c r="U54" s="32"/>
      <c r="V54" s="32"/>
      <c r="W54" s="223"/>
    </row>
    <row r="55" spans="6:23" ht="12.75" hidden="1" customHeight="1" x14ac:dyDescent="0.2">
      <c r="F55" s="1360"/>
      <c r="G55" s="1360"/>
      <c r="H55" s="1360"/>
      <c r="I55" s="1360"/>
      <c r="J55" s="1360"/>
      <c r="L55" s="32"/>
      <c r="M55" s="32"/>
      <c r="N55" s="32"/>
      <c r="T55" s="32"/>
      <c r="U55" s="32"/>
      <c r="V55" s="32"/>
      <c r="W55" s="223"/>
    </row>
    <row r="56" spans="6:23" ht="12.75" hidden="1" customHeight="1" x14ac:dyDescent="0.2">
      <c r="F56" s="1360"/>
      <c r="G56" s="1360"/>
      <c r="H56" s="1360"/>
      <c r="I56" s="1360"/>
      <c r="J56" s="1360"/>
      <c r="L56" s="32"/>
      <c r="M56" s="32"/>
      <c r="N56" s="32"/>
      <c r="T56" s="32"/>
      <c r="U56" s="32"/>
      <c r="V56" s="32"/>
      <c r="W56" s="223"/>
    </row>
    <row r="57" spans="6:23" ht="12.75" hidden="1" customHeight="1" x14ac:dyDescent="0.2">
      <c r="F57" s="1360"/>
      <c r="G57" s="1360"/>
      <c r="H57" s="1360"/>
      <c r="I57" s="1360"/>
      <c r="J57" s="1360"/>
      <c r="L57" s="32"/>
      <c r="M57" s="32"/>
      <c r="N57" s="32"/>
      <c r="T57" s="32"/>
      <c r="U57" s="32"/>
      <c r="V57" s="32"/>
      <c r="W57" s="223"/>
    </row>
    <row r="58" spans="6:23" ht="12.75" hidden="1" customHeight="1" x14ac:dyDescent="0.2">
      <c r="F58" s="1360"/>
      <c r="G58" s="1360"/>
      <c r="H58" s="1360"/>
      <c r="I58" s="1360"/>
      <c r="J58" s="1360"/>
      <c r="L58" s="32"/>
      <c r="M58" s="32"/>
      <c r="N58" s="32"/>
      <c r="T58" s="32"/>
      <c r="U58" s="32"/>
      <c r="V58" s="32"/>
      <c r="W58" s="223"/>
    </row>
    <row r="59" spans="6:23" ht="12.75" hidden="1" customHeight="1" x14ac:dyDescent="0.2">
      <c r="F59" s="1360"/>
      <c r="G59" s="1360"/>
      <c r="H59" s="1360"/>
      <c r="I59" s="1360"/>
      <c r="J59" s="1360"/>
      <c r="L59" s="32"/>
      <c r="M59" s="32"/>
      <c r="N59" s="32"/>
      <c r="T59" s="32"/>
      <c r="U59" s="32"/>
      <c r="V59" s="32"/>
      <c r="W59" s="223"/>
    </row>
    <row r="60" spans="6:23" ht="12.75" hidden="1" customHeight="1" x14ac:dyDescent="0.2">
      <c r="F60" s="1360"/>
      <c r="G60" s="1360"/>
      <c r="H60" s="1360"/>
      <c r="I60" s="1360"/>
      <c r="J60" s="1360"/>
      <c r="L60" s="32"/>
      <c r="M60" s="32"/>
      <c r="N60" s="32"/>
      <c r="T60" s="32"/>
      <c r="U60" s="32"/>
      <c r="V60" s="32"/>
      <c r="W60" s="223"/>
    </row>
    <row r="61" spans="6:23" ht="12.75" hidden="1" customHeight="1" x14ac:dyDescent="0.2">
      <c r="F61" s="1360"/>
      <c r="G61" s="1360"/>
      <c r="H61" s="1360"/>
      <c r="I61" s="1360"/>
      <c r="J61" s="1360"/>
      <c r="L61" s="32"/>
      <c r="M61" s="32"/>
      <c r="N61" s="32"/>
      <c r="T61" s="32"/>
      <c r="U61" s="32"/>
      <c r="V61" s="32"/>
      <c r="W61" s="223"/>
    </row>
    <row r="62" spans="6:23" ht="12.75" hidden="1" customHeight="1" x14ac:dyDescent="0.2">
      <c r="F62" s="1360"/>
      <c r="G62" s="1360"/>
      <c r="H62" s="1360"/>
      <c r="I62" s="1360"/>
      <c r="J62" s="1360"/>
      <c r="L62" s="32"/>
      <c r="M62" s="32"/>
      <c r="N62" s="32"/>
      <c r="T62" s="32"/>
      <c r="U62" s="32"/>
      <c r="V62" s="32"/>
      <c r="W62" s="223"/>
    </row>
    <row r="63" spans="6:23" ht="12.75" hidden="1" customHeight="1" x14ac:dyDescent="0.2">
      <c r="F63" s="1360"/>
      <c r="G63" s="1360"/>
      <c r="H63" s="1360"/>
      <c r="I63" s="1360"/>
      <c r="J63" s="1360"/>
      <c r="L63" s="32"/>
      <c r="M63" s="32"/>
      <c r="N63" s="32"/>
      <c r="T63" s="32"/>
      <c r="U63" s="32"/>
      <c r="V63" s="32"/>
      <c r="W63" s="223"/>
    </row>
    <row r="64" spans="6:23" ht="12.75" hidden="1" customHeight="1" x14ac:dyDescent="0.2">
      <c r="F64" s="1360"/>
      <c r="G64" s="1360"/>
      <c r="H64" s="1360"/>
      <c r="I64" s="1360"/>
      <c r="J64" s="1360"/>
      <c r="L64" s="32"/>
      <c r="M64" s="32"/>
      <c r="N64" s="32"/>
      <c r="T64" s="32"/>
      <c r="U64" s="32"/>
      <c r="V64" s="32"/>
      <c r="W64" s="223"/>
    </row>
    <row r="65" spans="6:23" ht="12.75" hidden="1" customHeight="1" x14ac:dyDescent="0.2">
      <c r="F65" s="1360"/>
      <c r="G65" s="1360"/>
      <c r="H65" s="1360"/>
      <c r="I65" s="1360"/>
      <c r="J65" s="1360"/>
      <c r="L65" s="32"/>
      <c r="M65" s="32"/>
      <c r="N65" s="32"/>
      <c r="T65" s="32"/>
      <c r="U65" s="32"/>
      <c r="V65" s="32"/>
      <c r="W65" s="223"/>
    </row>
    <row r="66" spans="6:23" ht="12.75" hidden="1" customHeight="1" x14ac:dyDescent="0.2">
      <c r="F66" s="1360"/>
      <c r="G66" s="1360"/>
      <c r="H66" s="1360"/>
      <c r="I66" s="1360"/>
      <c r="J66" s="1360"/>
      <c r="L66" s="32"/>
      <c r="M66" s="32"/>
      <c r="N66" s="32"/>
      <c r="T66" s="32"/>
      <c r="U66" s="32"/>
      <c r="V66" s="32"/>
      <c r="W66" s="223"/>
    </row>
    <row r="67" spans="6:23" ht="12.75" hidden="1" customHeight="1" x14ac:dyDescent="0.2">
      <c r="F67" s="1360"/>
      <c r="G67" s="1360"/>
      <c r="H67" s="1360"/>
      <c r="I67" s="1360"/>
      <c r="J67" s="1360"/>
      <c r="L67" s="32"/>
      <c r="M67" s="32"/>
      <c r="N67" s="32"/>
      <c r="T67" s="32"/>
      <c r="U67" s="32"/>
      <c r="V67" s="32"/>
      <c r="W67" s="223"/>
    </row>
    <row r="68" spans="6:23" ht="12.75" hidden="1" customHeight="1" x14ac:dyDescent="0.2">
      <c r="F68" s="1360"/>
      <c r="G68" s="1360"/>
      <c r="H68" s="1360"/>
      <c r="I68" s="1360"/>
      <c r="J68" s="1360"/>
      <c r="L68" s="32"/>
      <c r="M68" s="32"/>
      <c r="N68" s="32"/>
      <c r="T68" s="32"/>
      <c r="U68" s="32"/>
      <c r="V68" s="32"/>
      <c r="W68" s="223"/>
    </row>
    <row r="69" spans="6:23" ht="12.75" hidden="1" customHeight="1" x14ac:dyDescent="0.2">
      <c r="F69" s="1360"/>
      <c r="G69" s="1360"/>
      <c r="H69" s="1360"/>
      <c r="I69" s="1360"/>
      <c r="J69" s="1360"/>
      <c r="L69" s="32"/>
      <c r="M69" s="32"/>
      <c r="N69" s="32"/>
      <c r="T69" s="32"/>
      <c r="U69" s="32"/>
      <c r="V69" s="32"/>
      <c r="W69" s="223"/>
    </row>
    <row r="70" spans="6:23" ht="12.75" hidden="1" customHeight="1" x14ac:dyDescent="0.2">
      <c r="F70" s="1360"/>
      <c r="G70" s="1360"/>
      <c r="H70" s="1360"/>
      <c r="I70" s="1360"/>
      <c r="J70" s="1360"/>
      <c r="L70" s="32"/>
      <c r="M70" s="32"/>
      <c r="N70" s="32"/>
      <c r="T70" s="32"/>
      <c r="U70" s="32"/>
      <c r="V70" s="32"/>
      <c r="W70" s="223"/>
    </row>
    <row r="71" spans="6:23" ht="12.75" hidden="1" customHeight="1" x14ac:dyDescent="0.2">
      <c r="F71" s="1360"/>
      <c r="G71" s="1360"/>
      <c r="H71" s="1360"/>
      <c r="I71" s="1360"/>
      <c r="J71" s="1360"/>
      <c r="L71" s="32"/>
      <c r="M71" s="32"/>
      <c r="N71" s="32"/>
      <c r="T71" s="32"/>
      <c r="U71" s="32"/>
      <c r="V71" s="32"/>
      <c r="W71" s="223"/>
    </row>
    <row r="72" spans="6:23" ht="12.75" hidden="1" customHeight="1" x14ac:dyDescent="0.2">
      <c r="F72" s="1360"/>
      <c r="G72" s="1360"/>
      <c r="H72" s="1360"/>
      <c r="I72" s="1360"/>
      <c r="J72" s="1360"/>
      <c r="L72" s="32"/>
      <c r="M72" s="32"/>
      <c r="N72" s="32"/>
      <c r="T72" s="32"/>
      <c r="U72" s="32"/>
      <c r="V72" s="32"/>
      <c r="W72" s="223"/>
    </row>
    <row r="73" spans="6:23" ht="12.75" hidden="1" customHeight="1" x14ac:dyDescent="0.2">
      <c r="F73" s="1360"/>
      <c r="G73" s="1360"/>
      <c r="H73" s="1360"/>
      <c r="I73" s="1360"/>
      <c r="J73" s="1360"/>
      <c r="L73" s="32"/>
      <c r="M73" s="32"/>
      <c r="N73" s="32"/>
      <c r="T73" s="32"/>
      <c r="U73" s="32"/>
      <c r="V73" s="32"/>
      <c r="W73" s="223"/>
    </row>
    <row r="74" spans="6:23" ht="12.75" hidden="1" customHeight="1" x14ac:dyDescent="0.2">
      <c r="F74" s="1360"/>
      <c r="G74" s="1360"/>
      <c r="H74" s="1360"/>
      <c r="I74" s="1360"/>
      <c r="J74" s="1360"/>
      <c r="L74" s="32"/>
      <c r="M74" s="32"/>
      <c r="N74" s="32"/>
      <c r="T74" s="32"/>
      <c r="U74" s="32"/>
      <c r="V74" s="32"/>
      <c r="W74" s="223"/>
    </row>
    <row r="75" spans="6:23" ht="12.75" hidden="1" customHeight="1" x14ac:dyDescent="0.2">
      <c r="F75" s="1360"/>
      <c r="G75" s="1360"/>
      <c r="H75" s="1360"/>
      <c r="I75" s="1360"/>
      <c r="J75" s="1360"/>
      <c r="L75" s="32"/>
      <c r="M75" s="32"/>
      <c r="N75" s="32"/>
      <c r="T75" s="32"/>
      <c r="U75" s="32"/>
      <c r="V75" s="32"/>
      <c r="W75" s="223"/>
    </row>
    <row r="76" spans="6:23" ht="12.75" hidden="1" customHeight="1" x14ac:dyDescent="0.2">
      <c r="F76" s="1360"/>
      <c r="G76" s="1360"/>
      <c r="H76" s="1360"/>
      <c r="I76" s="1360"/>
      <c r="J76" s="1360"/>
      <c r="L76" s="32"/>
      <c r="M76" s="32"/>
      <c r="N76" s="32"/>
      <c r="T76" s="32"/>
      <c r="U76" s="32"/>
      <c r="V76" s="32"/>
      <c r="W76" s="223"/>
    </row>
    <row r="77" spans="6:23" ht="12.75" hidden="1" customHeight="1" x14ac:dyDescent="0.2">
      <c r="F77" s="1360"/>
      <c r="G77" s="1360"/>
      <c r="H77" s="1360"/>
      <c r="I77" s="1360"/>
      <c r="J77" s="1360"/>
      <c r="L77" s="32"/>
      <c r="M77" s="32"/>
      <c r="N77" s="32"/>
      <c r="T77" s="32"/>
      <c r="U77" s="32"/>
      <c r="V77" s="32"/>
      <c r="W77" s="223"/>
    </row>
    <row r="78" spans="6:23" ht="12.75" hidden="1" customHeight="1" x14ac:dyDescent="0.2">
      <c r="F78" s="1360"/>
      <c r="G78" s="1360"/>
      <c r="H78" s="1360"/>
      <c r="I78" s="1360"/>
      <c r="J78" s="1360"/>
      <c r="L78" s="32"/>
      <c r="M78" s="32"/>
      <c r="N78" s="32"/>
      <c r="T78" s="32"/>
      <c r="U78" s="32"/>
      <c r="V78" s="32"/>
      <c r="W78" s="223"/>
    </row>
    <row r="79" spans="6:23" ht="12.75" hidden="1" customHeight="1" x14ac:dyDescent="0.2">
      <c r="F79" s="1360"/>
      <c r="G79" s="1360"/>
      <c r="H79" s="1360"/>
      <c r="I79" s="1360"/>
      <c r="J79" s="1360"/>
      <c r="L79" s="32"/>
      <c r="M79" s="32"/>
      <c r="N79" s="32"/>
      <c r="T79" s="32"/>
      <c r="U79" s="32"/>
      <c r="V79" s="32"/>
      <c r="W79" s="223"/>
    </row>
    <row r="80" spans="6:23" ht="12.75" hidden="1" customHeight="1" x14ac:dyDescent="0.2">
      <c r="F80" s="1360"/>
      <c r="G80" s="1360"/>
      <c r="H80" s="1360"/>
      <c r="I80" s="1360"/>
      <c r="J80" s="1360"/>
      <c r="L80" s="32"/>
      <c r="M80" s="32"/>
      <c r="N80" s="32"/>
      <c r="T80" s="32"/>
      <c r="U80" s="32"/>
      <c r="V80" s="32"/>
      <c r="W80" s="223"/>
    </row>
    <row r="81" spans="6:23" ht="12.75" hidden="1" customHeight="1" x14ac:dyDescent="0.2">
      <c r="F81" s="1360"/>
      <c r="G81" s="1360"/>
      <c r="H81" s="1360"/>
      <c r="I81" s="1360"/>
      <c r="J81" s="1360"/>
      <c r="L81" s="32"/>
      <c r="M81" s="32"/>
      <c r="N81" s="32"/>
      <c r="T81" s="32"/>
      <c r="U81" s="32"/>
      <c r="V81" s="32"/>
      <c r="W81" s="223"/>
    </row>
    <row r="82" spans="6:23" ht="12.75" hidden="1" customHeight="1" x14ac:dyDescent="0.2">
      <c r="F82" s="1360"/>
      <c r="G82" s="1360"/>
      <c r="H82" s="1360"/>
      <c r="I82" s="1360"/>
      <c r="J82" s="1360"/>
      <c r="L82" s="32"/>
      <c r="M82" s="32"/>
      <c r="N82" s="32"/>
      <c r="T82" s="32"/>
      <c r="U82" s="32"/>
      <c r="V82" s="32"/>
      <c r="W82" s="223"/>
    </row>
    <row r="83" spans="6:23" ht="12.75" hidden="1" customHeight="1" x14ac:dyDescent="0.2">
      <c r="F83" s="1360"/>
      <c r="G83" s="1360"/>
      <c r="H83" s="1360"/>
      <c r="I83" s="1360"/>
      <c r="J83" s="1360"/>
      <c r="L83" s="32"/>
      <c r="M83" s="32"/>
      <c r="N83" s="32"/>
      <c r="T83" s="32"/>
      <c r="U83" s="32"/>
      <c r="V83" s="32"/>
      <c r="W83" s="223"/>
    </row>
    <row r="84" spans="6:23" ht="12.75" hidden="1" customHeight="1" x14ac:dyDescent="0.2">
      <c r="F84" s="1360"/>
      <c r="G84" s="1360"/>
      <c r="H84" s="1360"/>
      <c r="I84" s="1360"/>
      <c r="J84" s="1360"/>
      <c r="L84" s="32"/>
      <c r="M84" s="32"/>
      <c r="N84" s="32"/>
      <c r="T84" s="32"/>
      <c r="U84" s="32"/>
      <c r="V84" s="32"/>
      <c r="W84" s="223"/>
    </row>
    <row r="85" spans="6:23" ht="12.75" hidden="1" customHeight="1" x14ac:dyDescent="0.2">
      <c r="F85" s="1360"/>
      <c r="G85" s="1360"/>
      <c r="H85" s="1360"/>
      <c r="I85" s="1360"/>
      <c r="J85" s="1360"/>
      <c r="L85" s="32"/>
      <c r="M85" s="32"/>
      <c r="N85" s="32"/>
      <c r="T85" s="32"/>
      <c r="U85" s="32"/>
      <c r="V85" s="32"/>
      <c r="W85" s="223"/>
    </row>
    <row r="86" spans="6:23" ht="12.75" hidden="1" customHeight="1" x14ac:dyDescent="0.2">
      <c r="F86" s="1360"/>
      <c r="G86" s="1360"/>
      <c r="H86" s="1360"/>
      <c r="I86" s="1360"/>
      <c r="J86" s="1360"/>
      <c r="L86" s="32"/>
      <c r="M86" s="32"/>
      <c r="N86" s="32"/>
      <c r="T86" s="32"/>
      <c r="U86" s="32"/>
      <c r="V86" s="32"/>
      <c r="W86" s="223"/>
    </row>
    <row r="87" spans="6:23" ht="12.75" hidden="1" customHeight="1" x14ac:dyDescent="0.2">
      <c r="F87" s="1360"/>
      <c r="G87" s="1360"/>
      <c r="H87" s="1360"/>
      <c r="I87" s="1360"/>
      <c r="J87" s="1360"/>
      <c r="L87" s="32"/>
      <c r="M87" s="32"/>
      <c r="N87" s="32"/>
      <c r="T87" s="32"/>
      <c r="U87" s="32"/>
      <c r="V87" s="32"/>
      <c r="W87" s="223"/>
    </row>
    <row r="88" spans="6:23" ht="12.75" hidden="1" customHeight="1" x14ac:dyDescent="0.2">
      <c r="F88" s="1360"/>
      <c r="G88" s="1360"/>
      <c r="H88" s="1360"/>
      <c r="I88" s="1360"/>
      <c r="J88" s="1360"/>
      <c r="L88" s="32"/>
      <c r="M88" s="32"/>
      <c r="N88" s="32"/>
      <c r="T88" s="32"/>
      <c r="U88" s="32"/>
      <c r="V88" s="32"/>
      <c r="W88" s="223"/>
    </row>
    <row r="89" spans="6:23" ht="12.75" hidden="1" customHeight="1" x14ac:dyDescent="0.2">
      <c r="F89" s="1360"/>
      <c r="G89" s="1360"/>
      <c r="H89" s="1360"/>
      <c r="I89" s="1360"/>
      <c r="J89" s="1360"/>
      <c r="L89" s="32"/>
      <c r="M89" s="32"/>
      <c r="N89" s="32"/>
      <c r="T89" s="32"/>
      <c r="U89" s="32"/>
      <c r="V89" s="32"/>
      <c r="W89" s="223"/>
    </row>
    <row r="90" spans="6:23" ht="12.75" hidden="1" customHeight="1" x14ac:dyDescent="0.2">
      <c r="F90" s="1360"/>
      <c r="G90" s="1360"/>
      <c r="H90" s="1360"/>
      <c r="I90" s="1360"/>
      <c r="J90" s="1360"/>
      <c r="L90" s="32"/>
      <c r="M90" s="32"/>
      <c r="N90" s="32"/>
      <c r="T90" s="32"/>
      <c r="U90" s="32"/>
      <c r="V90" s="32"/>
      <c r="W90" s="223"/>
    </row>
    <row r="91" spans="6:23" ht="12.75" hidden="1" customHeight="1" x14ac:dyDescent="0.2">
      <c r="F91" s="1360"/>
      <c r="G91" s="1360"/>
      <c r="H91" s="1360"/>
      <c r="I91" s="1360"/>
      <c r="J91" s="1360"/>
      <c r="L91" s="32"/>
      <c r="M91" s="32"/>
      <c r="N91" s="32"/>
      <c r="T91" s="32"/>
      <c r="U91" s="32"/>
      <c r="V91" s="32"/>
      <c r="W91" s="223"/>
    </row>
    <row r="92" spans="6:23" ht="12.75" hidden="1" customHeight="1" x14ac:dyDescent="0.2">
      <c r="F92" s="1360"/>
      <c r="G92" s="1360"/>
      <c r="H92" s="1360"/>
      <c r="I92" s="1360"/>
      <c r="J92" s="1360"/>
      <c r="L92" s="32"/>
      <c r="M92" s="32"/>
      <c r="N92" s="32"/>
      <c r="T92" s="32"/>
      <c r="U92" s="32"/>
      <c r="V92" s="32"/>
      <c r="W92" s="223"/>
    </row>
    <row r="93" spans="6:23" ht="12.75" hidden="1" customHeight="1" x14ac:dyDescent="0.2">
      <c r="F93" s="1360"/>
      <c r="G93" s="1360"/>
      <c r="H93" s="1360"/>
      <c r="I93" s="1360"/>
      <c r="J93" s="1360"/>
      <c r="L93" s="32"/>
      <c r="M93" s="32"/>
      <c r="N93" s="32"/>
      <c r="T93" s="32"/>
      <c r="U93" s="32"/>
      <c r="V93" s="32"/>
      <c r="W93" s="223"/>
    </row>
    <row r="94" spans="6:23" ht="12.75" hidden="1" customHeight="1" x14ac:dyDescent="0.2">
      <c r="F94" s="1360"/>
      <c r="G94" s="1360"/>
      <c r="H94" s="1360"/>
      <c r="I94" s="1360"/>
      <c r="J94" s="1360"/>
      <c r="L94" s="32"/>
      <c r="M94" s="32"/>
      <c r="N94" s="32"/>
      <c r="T94" s="32"/>
      <c r="U94" s="32"/>
      <c r="V94" s="32"/>
      <c r="W94" s="223"/>
    </row>
    <row r="95" spans="6:23" ht="12.75" hidden="1" customHeight="1" x14ac:dyDescent="0.2">
      <c r="F95" s="1360"/>
      <c r="G95" s="1360"/>
      <c r="H95" s="1360"/>
      <c r="I95" s="1360"/>
      <c r="J95" s="1360"/>
      <c r="L95" s="32"/>
      <c r="M95" s="32"/>
      <c r="N95" s="32"/>
      <c r="T95" s="32"/>
      <c r="U95" s="32"/>
      <c r="V95" s="32"/>
      <c r="W95" s="223"/>
    </row>
    <row r="96" spans="6:23" ht="12.75" hidden="1" customHeight="1" x14ac:dyDescent="0.2">
      <c r="F96" s="1360"/>
      <c r="G96" s="1360"/>
      <c r="H96" s="1360"/>
      <c r="I96" s="1360"/>
      <c r="J96" s="1360"/>
      <c r="L96" s="32"/>
      <c r="M96" s="32"/>
      <c r="N96" s="32"/>
      <c r="T96" s="32"/>
      <c r="U96" s="32"/>
      <c r="V96" s="32"/>
      <c r="W96" s="223"/>
    </row>
    <row r="97" spans="6:23" ht="12.75" hidden="1" customHeight="1" x14ac:dyDescent="0.2">
      <c r="F97" s="1360"/>
      <c r="G97" s="1360"/>
      <c r="H97" s="1360"/>
      <c r="I97" s="1360"/>
      <c r="J97" s="1360"/>
      <c r="L97" s="32"/>
      <c r="M97" s="32"/>
      <c r="N97" s="32"/>
      <c r="T97" s="32"/>
      <c r="U97" s="32"/>
      <c r="V97" s="32"/>
      <c r="W97" s="223"/>
    </row>
    <row r="98" spans="6:23" ht="12.75" hidden="1" customHeight="1" x14ac:dyDescent="0.2">
      <c r="F98" s="1360"/>
      <c r="G98" s="1360"/>
      <c r="H98" s="1360"/>
      <c r="I98" s="1360"/>
      <c r="J98" s="1360"/>
      <c r="L98" s="32"/>
      <c r="M98" s="32"/>
      <c r="N98" s="32"/>
      <c r="T98" s="32"/>
      <c r="U98" s="32"/>
      <c r="V98" s="32"/>
      <c r="W98" s="223"/>
    </row>
    <row r="99" spans="6:23" ht="12.75" hidden="1" customHeight="1" x14ac:dyDescent="0.2">
      <c r="F99" s="1360"/>
      <c r="G99" s="1360"/>
      <c r="H99" s="1360"/>
      <c r="I99" s="1360"/>
      <c r="J99" s="1360"/>
      <c r="L99" s="32"/>
      <c r="M99" s="32"/>
      <c r="N99" s="32"/>
      <c r="T99" s="32"/>
      <c r="U99" s="32"/>
      <c r="V99" s="32"/>
      <c r="W99" s="223"/>
    </row>
    <row r="100" spans="6:23" ht="12.75" hidden="1" customHeight="1" x14ac:dyDescent="0.2">
      <c r="F100" s="1360"/>
      <c r="G100" s="1360"/>
      <c r="H100" s="1360"/>
      <c r="I100" s="1360"/>
      <c r="J100" s="1360"/>
      <c r="L100" s="32"/>
      <c r="M100" s="32"/>
      <c r="N100" s="32"/>
      <c r="T100" s="32"/>
      <c r="U100" s="32"/>
      <c r="V100" s="32"/>
      <c r="W100" s="223"/>
    </row>
    <row r="101" spans="6:23" ht="12.75" hidden="1" customHeight="1" x14ac:dyDescent="0.2">
      <c r="F101" s="1360"/>
      <c r="G101" s="1360"/>
      <c r="H101" s="1360"/>
      <c r="I101" s="1360"/>
      <c r="J101" s="1360"/>
      <c r="L101" s="32"/>
      <c r="M101" s="32"/>
      <c r="N101" s="32"/>
      <c r="T101" s="32"/>
      <c r="U101" s="32"/>
      <c r="V101" s="32"/>
      <c r="W101" s="223"/>
    </row>
    <row r="102" spans="6:23" ht="12.75" hidden="1" customHeight="1" x14ac:dyDescent="0.2">
      <c r="F102" s="1360"/>
      <c r="G102" s="1360"/>
      <c r="H102" s="1360"/>
      <c r="I102" s="1360"/>
      <c r="J102" s="1360"/>
      <c r="L102" s="32"/>
      <c r="M102" s="32"/>
      <c r="N102" s="32"/>
      <c r="T102" s="32"/>
      <c r="U102" s="32"/>
      <c r="V102" s="32"/>
      <c r="W102" s="223"/>
    </row>
    <row r="103" spans="6:23" ht="12.75" hidden="1" customHeight="1" x14ac:dyDescent="0.2">
      <c r="F103" s="1360"/>
      <c r="G103" s="1360"/>
      <c r="H103" s="1360"/>
      <c r="I103" s="1360"/>
      <c r="J103" s="1360"/>
      <c r="L103" s="32"/>
      <c r="M103" s="32"/>
      <c r="N103" s="32"/>
      <c r="T103" s="32"/>
      <c r="U103" s="32"/>
      <c r="V103" s="32"/>
      <c r="W103" s="223"/>
    </row>
    <row r="104" spans="6:23" ht="12.75" hidden="1" customHeight="1" x14ac:dyDescent="0.2">
      <c r="F104" s="1360"/>
      <c r="G104" s="1360"/>
      <c r="H104" s="1360"/>
      <c r="I104" s="1360"/>
      <c r="J104" s="1360"/>
      <c r="L104" s="32"/>
      <c r="M104" s="32"/>
      <c r="N104" s="32"/>
      <c r="T104" s="32"/>
      <c r="U104" s="32"/>
      <c r="V104" s="32"/>
      <c r="W104" s="223"/>
    </row>
    <row r="105" spans="6:23" ht="12.75" hidden="1" customHeight="1" x14ac:dyDescent="0.2">
      <c r="F105" s="1360"/>
      <c r="G105" s="1360"/>
      <c r="H105" s="1360"/>
      <c r="I105" s="1360"/>
      <c r="J105" s="1360"/>
      <c r="L105" s="32"/>
      <c r="M105" s="32"/>
      <c r="N105" s="32"/>
      <c r="T105" s="32"/>
      <c r="U105" s="32"/>
      <c r="V105" s="32"/>
      <c r="W105" s="223"/>
    </row>
    <row r="106" spans="6:23" ht="12.75" hidden="1" customHeight="1" x14ac:dyDescent="0.2">
      <c r="F106" s="1360"/>
      <c r="G106" s="1360"/>
      <c r="H106" s="1360"/>
      <c r="I106" s="1360"/>
      <c r="J106" s="1360"/>
      <c r="L106" s="32"/>
      <c r="M106" s="32"/>
      <c r="N106" s="32"/>
      <c r="T106" s="32"/>
      <c r="U106" s="32"/>
      <c r="V106" s="32"/>
      <c r="W106" s="223"/>
    </row>
    <row r="107" spans="6:23" ht="12.75" hidden="1" customHeight="1" x14ac:dyDescent="0.2">
      <c r="F107" s="1360"/>
      <c r="G107" s="1360"/>
      <c r="H107" s="1360"/>
      <c r="I107" s="1360"/>
      <c r="J107" s="1360"/>
      <c r="L107" s="32"/>
      <c r="M107" s="32"/>
      <c r="N107" s="32"/>
      <c r="T107" s="32"/>
      <c r="U107" s="32"/>
      <c r="V107" s="32"/>
      <c r="W107" s="223"/>
    </row>
    <row r="108" spans="6:23" ht="12.75" hidden="1" customHeight="1" x14ac:dyDescent="0.2">
      <c r="F108" s="1360"/>
      <c r="G108" s="1360"/>
      <c r="H108" s="1360"/>
      <c r="I108" s="1360"/>
      <c r="J108" s="1360"/>
      <c r="L108" s="32"/>
      <c r="M108" s="32"/>
      <c r="N108" s="32"/>
      <c r="T108" s="32"/>
      <c r="U108" s="32"/>
      <c r="V108" s="32"/>
      <c r="W108" s="223"/>
    </row>
    <row r="109" spans="6:23" ht="12.75" hidden="1" customHeight="1" x14ac:dyDescent="0.2">
      <c r="F109" s="1360"/>
      <c r="G109" s="1360"/>
      <c r="H109" s="1360"/>
      <c r="I109" s="1360"/>
      <c r="J109" s="1360"/>
      <c r="L109" s="32"/>
      <c r="M109" s="32"/>
      <c r="N109" s="32"/>
      <c r="T109" s="32"/>
      <c r="U109" s="32"/>
      <c r="V109" s="32"/>
      <c r="W109" s="223"/>
    </row>
    <row r="110" spans="6:23" ht="12.75" hidden="1" customHeight="1" x14ac:dyDescent="0.2">
      <c r="F110" s="1360"/>
      <c r="G110" s="1360"/>
      <c r="H110" s="1360"/>
      <c r="I110" s="1360"/>
      <c r="J110" s="1360"/>
      <c r="L110" s="32"/>
      <c r="M110" s="32"/>
      <c r="N110" s="32"/>
      <c r="T110" s="32"/>
      <c r="U110" s="32"/>
      <c r="V110" s="32"/>
      <c r="W110" s="223"/>
    </row>
    <row r="111" spans="6:23" ht="12.75" hidden="1" customHeight="1" x14ac:dyDescent="0.2">
      <c r="F111" s="1360"/>
      <c r="G111" s="1360"/>
      <c r="H111" s="1360"/>
      <c r="I111" s="1360"/>
      <c r="J111" s="1360"/>
      <c r="L111" s="32"/>
      <c r="M111" s="32"/>
      <c r="N111" s="32"/>
      <c r="T111" s="32"/>
      <c r="U111" s="32"/>
      <c r="V111" s="32"/>
      <c r="W111" s="223"/>
    </row>
    <row r="112" spans="6:23" ht="12.75" hidden="1" customHeight="1" x14ac:dyDescent="0.2">
      <c r="F112" s="1360"/>
      <c r="G112" s="1360"/>
      <c r="H112" s="1360"/>
      <c r="I112" s="1360"/>
      <c r="J112" s="1360"/>
      <c r="L112" s="32"/>
      <c r="M112" s="32"/>
      <c r="N112" s="32"/>
      <c r="T112" s="32"/>
      <c r="U112" s="32"/>
      <c r="V112" s="32"/>
      <c r="W112" s="223"/>
    </row>
    <row r="113" spans="6:23" ht="12.75" hidden="1" customHeight="1" x14ac:dyDescent="0.2">
      <c r="F113" s="1360"/>
      <c r="G113" s="1360"/>
      <c r="H113" s="1360"/>
      <c r="I113" s="1360"/>
      <c r="J113" s="1360"/>
      <c r="L113" s="32"/>
      <c r="M113" s="32"/>
      <c r="N113" s="32"/>
      <c r="T113" s="32"/>
      <c r="U113" s="32"/>
      <c r="V113" s="32"/>
      <c r="W113" s="223"/>
    </row>
    <row r="114" spans="6:23" ht="12.75" hidden="1" customHeight="1" x14ac:dyDescent="0.2">
      <c r="F114" s="1360"/>
      <c r="G114" s="1360"/>
      <c r="H114" s="1360"/>
      <c r="I114" s="1360"/>
      <c r="J114" s="1360"/>
      <c r="L114" s="32"/>
      <c r="M114" s="32"/>
      <c r="N114" s="32"/>
      <c r="T114" s="32"/>
      <c r="U114" s="32"/>
      <c r="V114" s="32"/>
      <c r="W114" s="223"/>
    </row>
    <row r="115" spans="6:23" ht="12.75" hidden="1" customHeight="1" x14ac:dyDescent="0.2">
      <c r="F115" s="1360"/>
      <c r="G115" s="1360"/>
      <c r="H115" s="1360"/>
      <c r="I115" s="1360"/>
      <c r="J115" s="1360"/>
      <c r="L115" s="32"/>
      <c r="M115" s="32"/>
      <c r="N115" s="32"/>
      <c r="T115" s="32"/>
      <c r="U115" s="32"/>
      <c r="V115" s="32"/>
      <c r="W115" s="223"/>
    </row>
    <row r="116" spans="6:23" ht="12.75" hidden="1" customHeight="1" x14ac:dyDescent="0.2">
      <c r="F116" s="1360"/>
      <c r="G116" s="1360"/>
      <c r="H116" s="1360"/>
      <c r="I116" s="1360"/>
      <c r="J116" s="1360"/>
      <c r="L116" s="32"/>
      <c r="M116" s="32"/>
      <c r="N116" s="32"/>
      <c r="T116" s="32"/>
      <c r="U116" s="32"/>
      <c r="V116" s="32"/>
      <c r="W116" s="223"/>
    </row>
    <row r="117" spans="6:23" ht="12.75" hidden="1" customHeight="1" x14ac:dyDescent="0.2">
      <c r="F117" s="1360"/>
      <c r="G117" s="1360"/>
      <c r="H117" s="1360"/>
      <c r="I117" s="1360"/>
      <c r="J117" s="1360"/>
      <c r="L117" s="32"/>
      <c r="M117" s="32"/>
      <c r="N117" s="32"/>
      <c r="T117" s="32"/>
      <c r="U117" s="32"/>
      <c r="V117" s="32"/>
      <c r="W117" s="223"/>
    </row>
    <row r="118" spans="6:23" ht="12.75" hidden="1" customHeight="1" x14ac:dyDescent="0.2">
      <c r="F118" s="1360"/>
      <c r="G118" s="1360"/>
      <c r="H118" s="1360"/>
      <c r="I118" s="1360"/>
      <c r="J118" s="1360"/>
      <c r="L118" s="32"/>
      <c r="M118" s="32"/>
      <c r="N118" s="32"/>
      <c r="T118" s="32"/>
      <c r="U118" s="32"/>
      <c r="V118" s="32"/>
      <c r="W118" s="223"/>
    </row>
    <row r="119" spans="6:23" ht="12.75" hidden="1" customHeight="1" x14ac:dyDescent="0.2">
      <c r="F119" s="1360"/>
      <c r="G119" s="1360"/>
      <c r="H119" s="1360"/>
      <c r="I119" s="1360"/>
      <c r="J119" s="1360"/>
      <c r="L119" s="32"/>
      <c r="M119" s="32"/>
      <c r="N119" s="32"/>
      <c r="T119" s="32"/>
      <c r="U119" s="32"/>
      <c r="V119" s="32"/>
      <c r="W119" s="223"/>
    </row>
    <row r="120" spans="6:23" ht="12.75" hidden="1" customHeight="1" x14ac:dyDescent="0.2">
      <c r="F120" s="1360"/>
      <c r="G120" s="1360"/>
      <c r="H120" s="1360"/>
      <c r="I120" s="1360"/>
      <c r="J120" s="1360"/>
      <c r="L120" s="32"/>
      <c r="M120" s="32"/>
      <c r="N120" s="32"/>
      <c r="T120" s="32"/>
      <c r="U120" s="32"/>
      <c r="V120" s="32"/>
      <c r="W120" s="223"/>
    </row>
    <row r="121" spans="6:23" ht="12.75" hidden="1" customHeight="1" x14ac:dyDescent="0.2">
      <c r="F121" s="1360"/>
      <c r="G121" s="1360"/>
      <c r="H121" s="1360"/>
      <c r="I121" s="1360"/>
      <c r="J121" s="1360"/>
      <c r="L121" s="32"/>
      <c r="M121" s="32"/>
      <c r="N121" s="32"/>
      <c r="T121" s="32"/>
      <c r="U121" s="32"/>
      <c r="V121" s="32"/>
      <c r="W121" s="223"/>
    </row>
    <row r="122" spans="6:23" ht="12.75" hidden="1" customHeight="1" x14ac:dyDescent="0.2">
      <c r="F122" s="1360"/>
      <c r="G122" s="1360"/>
      <c r="H122" s="1360"/>
      <c r="I122" s="1360"/>
      <c r="J122" s="1360"/>
      <c r="L122" s="32"/>
      <c r="M122" s="32"/>
      <c r="N122" s="32"/>
      <c r="T122" s="32"/>
      <c r="U122" s="32"/>
      <c r="V122" s="32"/>
      <c r="W122" s="223"/>
    </row>
    <row r="123" spans="6:23" ht="12.75" hidden="1" customHeight="1" x14ac:dyDescent="0.2">
      <c r="F123" s="1360"/>
      <c r="G123" s="1360"/>
      <c r="H123" s="1360"/>
      <c r="I123" s="1360"/>
      <c r="J123" s="1360"/>
      <c r="L123" s="32"/>
      <c r="M123" s="32"/>
      <c r="N123" s="32"/>
      <c r="T123" s="32"/>
      <c r="U123" s="32"/>
      <c r="V123" s="32"/>
      <c r="W123" s="223"/>
    </row>
    <row r="124" spans="6:23" ht="12.75" hidden="1" customHeight="1" x14ac:dyDescent="0.2">
      <c r="F124" s="1360"/>
      <c r="G124" s="1360"/>
      <c r="H124" s="1360"/>
      <c r="I124" s="1360"/>
      <c r="J124" s="1360"/>
      <c r="L124" s="32"/>
      <c r="M124" s="32"/>
      <c r="N124" s="32"/>
      <c r="T124" s="32"/>
      <c r="U124" s="32"/>
      <c r="V124" s="32"/>
      <c r="W124" s="223"/>
    </row>
    <row r="125" spans="6:23" ht="12.75" hidden="1" customHeight="1" x14ac:dyDescent="0.2">
      <c r="F125" s="1360"/>
      <c r="G125" s="1360"/>
      <c r="H125" s="1360"/>
      <c r="I125" s="1360"/>
      <c r="J125" s="1360"/>
      <c r="L125" s="32"/>
      <c r="M125" s="32"/>
      <c r="N125" s="32"/>
      <c r="T125" s="32"/>
      <c r="U125" s="32"/>
      <c r="V125" s="32"/>
      <c r="W125" s="223"/>
    </row>
    <row r="126" spans="6:23" ht="12.75" hidden="1" customHeight="1" x14ac:dyDescent="0.2">
      <c r="F126" s="1360"/>
      <c r="G126" s="1360"/>
      <c r="H126" s="1360"/>
      <c r="I126" s="1360"/>
      <c r="J126" s="1360"/>
      <c r="L126" s="32"/>
      <c r="M126" s="32"/>
      <c r="N126" s="32"/>
      <c r="T126" s="32"/>
      <c r="U126" s="32"/>
      <c r="V126" s="32"/>
      <c r="W126" s="223"/>
    </row>
    <row r="127" spans="6:23" ht="12.75" hidden="1" customHeight="1" x14ac:dyDescent="0.2">
      <c r="F127" s="1360"/>
      <c r="G127" s="1360"/>
      <c r="H127" s="1360"/>
      <c r="I127" s="1360"/>
      <c r="J127" s="1360"/>
      <c r="L127" s="32"/>
      <c r="M127" s="32"/>
      <c r="N127" s="32"/>
      <c r="T127" s="32"/>
      <c r="U127" s="32"/>
      <c r="V127" s="32"/>
      <c r="W127" s="223"/>
    </row>
    <row r="128" spans="6:23" ht="12.75" hidden="1" customHeight="1" x14ac:dyDescent="0.2">
      <c r="F128" s="1360"/>
      <c r="G128" s="1360"/>
      <c r="H128" s="1360"/>
      <c r="I128" s="1360"/>
      <c r="J128" s="1360"/>
      <c r="L128" s="32"/>
      <c r="M128" s="32"/>
      <c r="N128" s="32"/>
      <c r="T128" s="32"/>
      <c r="U128" s="32"/>
      <c r="V128" s="32"/>
      <c r="W128" s="223"/>
    </row>
    <row r="129" spans="6:23" ht="12.75" hidden="1" customHeight="1" x14ac:dyDescent="0.2">
      <c r="F129" s="1360"/>
      <c r="G129" s="1360"/>
      <c r="H129" s="1360"/>
      <c r="I129" s="1360"/>
      <c r="J129" s="1360"/>
      <c r="L129" s="32"/>
      <c r="M129" s="32"/>
      <c r="N129" s="32"/>
      <c r="T129" s="32"/>
      <c r="U129" s="32"/>
      <c r="V129" s="32"/>
      <c r="W129" s="223"/>
    </row>
    <row r="130" spans="6:23" ht="12.75" hidden="1" customHeight="1" x14ac:dyDescent="0.2">
      <c r="F130" s="1360"/>
      <c r="G130" s="1360"/>
      <c r="H130" s="1360"/>
      <c r="I130" s="1360"/>
      <c r="J130" s="1360"/>
      <c r="L130" s="32"/>
      <c r="M130" s="32"/>
      <c r="N130" s="32"/>
      <c r="T130" s="32"/>
      <c r="U130" s="32"/>
      <c r="V130" s="32"/>
      <c r="W130" s="223"/>
    </row>
    <row r="131" spans="6:23" ht="12.75" hidden="1" customHeight="1" x14ac:dyDescent="0.2">
      <c r="F131" s="1360"/>
      <c r="G131" s="1360"/>
      <c r="H131" s="1360"/>
      <c r="I131" s="1360"/>
      <c r="J131" s="1360"/>
      <c r="L131" s="32"/>
      <c r="M131" s="32"/>
      <c r="N131" s="32"/>
      <c r="T131" s="32"/>
      <c r="U131" s="32"/>
      <c r="V131" s="32"/>
      <c r="W131" s="223"/>
    </row>
    <row r="132" spans="6:23" ht="12.75" hidden="1" customHeight="1" x14ac:dyDescent="0.2">
      <c r="F132" s="1360"/>
      <c r="G132" s="1360"/>
      <c r="H132" s="1360"/>
      <c r="I132" s="1360"/>
      <c r="J132" s="1360"/>
      <c r="L132" s="32"/>
      <c r="M132" s="32"/>
      <c r="N132" s="32"/>
      <c r="T132" s="32"/>
      <c r="U132" s="32"/>
      <c r="V132" s="32"/>
      <c r="W132" s="223"/>
    </row>
    <row r="133" spans="6:23" ht="12.75" hidden="1" customHeight="1" x14ac:dyDescent="0.2">
      <c r="F133" s="1360"/>
      <c r="G133" s="1360"/>
      <c r="H133" s="1360"/>
      <c r="I133" s="1360"/>
      <c r="J133" s="1360"/>
      <c r="L133" s="32"/>
      <c r="M133" s="32"/>
      <c r="N133" s="32"/>
      <c r="T133" s="32"/>
      <c r="U133" s="32"/>
      <c r="V133" s="32"/>
      <c r="W133" s="223"/>
    </row>
    <row r="134" spans="6:23" ht="12.75" hidden="1" customHeight="1" x14ac:dyDescent="0.2">
      <c r="F134" s="1360"/>
      <c r="G134" s="1360"/>
      <c r="H134" s="1360"/>
      <c r="I134" s="1360"/>
      <c r="J134" s="1360"/>
      <c r="L134" s="32"/>
      <c r="M134" s="32"/>
      <c r="N134" s="32"/>
      <c r="T134" s="32"/>
      <c r="U134" s="32"/>
      <c r="V134" s="32"/>
      <c r="W134" s="223"/>
    </row>
    <row r="135" spans="6:23" ht="12.75" hidden="1" customHeight="1" x14ac:dyDescent="0.2">
      <c r="F135" s="1360"/>
      <c r="G135" s="1360"/>
      <c r="H135" s="1360"/>
      <c r="I135" s="1360"/>
      <c r="J135" s="1360"/>
      <c r="L135" s="32"/>
      <c r="M135" s="32"/>
      <c r="N135" s="32"/>
      <c r="T135" s="32"/>
      <c r="U135" s="32"/>
      <c r="V135" s="32"/>
      <c r="W135" s="223"/>
    </row>
    <row r="136" spans="6:23" ht="12.75" hidden="1" customHeight="1" x14ac:dyDescent="0.2">
      <c r="F136" s="1360"/>
      <c r="G136" s="1360"/>
      <c r="H136" s="1360"/>
      <c r="I136" s="1360"/>
      <c r="J136" s="1360"/>
      <c r="L136" s="32"/>
      <c r="M136" s="32"/>
      <c r="N136" s="32"/>
      <c r="T136" s="32"/>
      <c r="U136" s="32"/>
      <c r="V136" s="32"/>
      <c r="W136" s="616"/>
    </row>
    <row r="137" spans="6:23" ht="12.75" hidden="1" customHeight="1" x14ac:dyDescent="0.2">
      <c r="F137" s="1360"/>
      <c r="G137" s="1360"/>
      <c r="H137" s="1360"/>
      <c r="I137" s="1360"/>
      <c r="J137" s="1360"/>
      <c r="L137" s="32"/>
      <c r="M137" s="32"/>
      <c r="N137" s="32"/>
      <c r="T137" s="32"/>
      <c r="U137" s="32"/>
      <c r="V137" s="32"/>
      <c r="W137" s="616"/>
    </row>
    <row r="138" spans="6:23" ht="12.75" hidden="1" customHeight="1" x14ac:dyDescent="0.2">
      <c r="F138" s="1360"/>
      <c r="G138" s="1360"/>
      <c r="H138" s="1360"/>
      <c r="I138" s="1360"/>
      <c r="J138" s="1360"/>
      <c r="L138" s="32"/>
      <c r="M138" s="32"/>
      <c r="N138" s="32"/>
      <c r="T138" s="32"/>
      <c r="U138" s="32"/>
      <c r="V138" s="32"/>
      <c r="W138" s="616"/>
    </row>
    <row r="139" spans="6:23" ht="12.75" hidden="1" customHeight="1" x14ac:dyDescent="0.2">
      <c r="F139" s="1360"/>
      <c r="G139" s="1360"/>
      <c r="H139" s="1360"/>
      <c r="I139" s="1360"/>
      <c r="J139" s="1360"/>
      <c r="L139" s="32"/>
      <c r="M139" s="32"/>
      <c r="N139" s="32"/>
      <c r="T139" s="32"/>
      <c r="U139" s="32"/>
      <c r="V139" s="32"/>
      <c r="W139" s="616"/>
    </row>
    <row r="140" spans="6:23" ht="12.75" hidden="1" customHeight="1" x14ac:dyDescent="0.2">
      <c r="F140" s="1360"/>
      <c r="G140" s="1360"/>
      <c r="H140" s="1360"/>
      <c r="I140" s="1360"/>
      <c r="J140" s="1360"/>
      <c r="L140" s="32"/>
      <c r="M140" s="32"/>
      <c r="N140" s="32"/>
      <c r="T140" s="32"/>
      <c r="U140" s="32"/>
      <c r="V140" s="32"/>
      <c r="W140" s="616"/>
    </row>
    <row r="141" spans="6:23" ht="12.75" hidden="1" customHeight="1" x14ac:dyDescent="0.2">
      <c r="F141" s="1360"/>
      <c r="G141" s="1360"/>
      <c r="H141" s="1360"/>
      <c r="I141" s="1360"/>
      <c r="J141" s="1360"/>
      <c r="L141" s="32"/>
      <c r="M141" s="32"/>
      <c r="N141" s="32"/>
      <c r="T141" s="32"/>
      <c r="U141" s="32"/>
      <c r="V141" s="32"/>
      <c r="W141" s="616"/>
    </row>
    <row r="142" spans="6:23" ht="12.75" hidden="1" customHeight="1" x14ac:dyDescent="0.2">
      <c r="F142" s="1360"/>
      <c r="G142" s="1360"/>
      <c r="H142" s="1360"/>
      <c r="I142" s="1360"/>
      <c r="J142" s="1360"/>
      <c r="L142" s="32"/>
      <c r="M142" s="32"/>
      <c r="N142" s="32"/>
      <c r="T142" s="32"/>
      <c r="U142" s="32"/>
      <c r="V142" s="32"/>
      <c r="W142" s="616"/>
    </row>
    <row r="143" spans="6:23" ht="12.75" hidden="1" customHeight="1" x14ac:dyDescent="0.2">
      <c r="F143" s="1360"/>
      <c r="G143" s="1360"/>
      <c r="H143" s="1360"/>
      <c r="I143" s="1360"/>
      <c r="J143" s="1360"/>
      <c r="L143" s="32"/>
      <c r="M143" s="32"/>
      <c r="N143" s="32"/>
      <c r="T143" s="32"/>
      <c r="U143" s="32"/>
      <c r="V143" s="32"/>
      <c r="W143" s="616"/>
    </row>
    <row r="144" spans="6:23" ht="12.75" hidden="1" customHeight="1" x14ac:dyDescent="0.2">
      <c r="F144" s="1360"/>
      <c r="G144" s="1360"/>
      <c r="H144" s="1360"/>
      <c r="I144" s="1360"/>
      <c r="J144" s="1360"/>
      <c r="L144" s="32"/>
      <c r="M144" s="32"/>
      <c r="N144" s="32"/>
      <c r="T144" s="32"/>
      <c r="U144" s="32"/>
      <c r="V144" s="32"/>
      <c r="W144" s="616"/>
    </row>
    <row r="145" spans="6:23" ht="12.75" hidden="1" customHeight="1" x14ac:dyDescent="0.2">
      <c r="F145" s="1360"/>
      <c r="G145" s="1360"/>
      <c r="H145" s="1360"/>
      <c r="I145" s="1360"/>
      <c r="J145" s="1360"/>
      <c r="L145" s="32"/>
      <c r="M145" s="32"/>
      <c r="N145" s="32"/>
      <c r="T145" s="32"/>
      <c r="U145" s="32"/>
      <c r="V145" s="32"/>
      <c r="W145" s="616"/>
    </row>
    <row r="146" spans="6:23" ht="12.75" hidden="1" customHeight="1" x14ac:dyDescent="0.2">
      <c r="F146" s="1360"/>
      <c r="G146" s="1360"/>
      <c r="H146" s="1360"/>
      <c r="I146" s="1360"/>
      <c r="J146" s="1360"/>
      <c r="L146" s="32"/>
      <c r="M146" s="32"/>
      <c r="N146" s="32"/>
      <c r="T146" s="32"/>
      <c r="U146" s="32"/>
      <c r="V146" s="32"/>
      <c r="W146" s="616"/>
    </row>
    <row r="147" spans="6:23" ht="12.75" hidden="1" customHeight="1" x14ac:dyDescent="0.2">
      <c r="F147" s="1360"/>
      <c r="G147" s="1360"/>
      <c r="H147" s="1360"/>
      <c r="I147" s="1360"/>
      <c r="J147" s="1360"/>
    </row>
    <row r="148" spans="6:23" ht="12.75" hidden="1" customHeight="1" x14ac:dyDescent="0.2">
      <c r="F148" s="1360"/>
      <c r="G148" s="1360"/>
      <c r="H148" s="1360"/>
      <c r="I148" s="1360"/>
      <c r="J148" s="1360"/>
    </row>
    <row r="149" spans="6:23" hidden="1" x14ac:dyDescent="0.2">
      <c r="F149" s="1360"/>
      <c r="G149" s="1360"/>
      <c r="H149" s="1360"/>
      <c r="I149" s="1360"/>
      <c r="J149" s="1360"/>
    </row>
    <row r="150" spans="6:23" hidden="1" x14ac:dyDescent="0.2">
      <c r="F150" s="1360"/>
      <c r="G150" s="1360"/>
      <c r="H150" s="1360"/>
      <c r="I150" s="1360"/>
      <c r="J150" s="1360"/>
    </row>
    <row r="151" spans="6:23" hidden="1" x14ac:dyDescent="0.2">
      <c r="F151" s="1360"/>
      <c r="G151" s="1360"/>
      <c r="H151" s="1360"/>
      <c r="I151" s="1360"/>
      <c r="J151" s="1360"/>
    </row>
    <row r="152" spans="6:23" hidden="1" x14ac:dyDescent="0.2">
      <c r="F152" s="1360"/>
      <c r="G152" s="1360"/>
      <c r="H152" s="1360"/>
      <c r="I152" s="1360"/>
      <c r="J152" s="1360"/>
    </row>
    <row r="153" spans="6:23" hidden="1" x14ac:dyDescent="0.2">
      <c r="F153" s="1360"/>
      <c r="G153" s="1360"/>
      <c r="H153" s="1360"/>
      <c r="I153" s="1360"/>
      <c r="J153" s="1360"/>
    </row>
    <row r="154" spans="6:23" hidden="1" x14ac:dyDescent="0.2">
      <c r="F154" s="1360"/>
      <c r="G154" s="1360"/>
      <c r="H154" s="1360"/>
      <c r="I154" s="1360"/>
      <c r="J154" s="1360"/>
    </row>
    <row r="155" spans="6:23" hidden="1" x14ac:dyDescent="0.2">
      <c r="F155" s="1360"/>
      <c r="G155" s="1360"/>
      <c r="H155" s="1360"/>
      <c r="I155" s="1360"/>
      <c r="J155" s="1360"/>
    </row>
    <row r="156" spans="6:23" hidden="1" x14ac:dyDescent="0.2">
      <c r="F156" s="1360"/>
      <c r="G156" s="1360"/>
      <c r="H156" s="1360"/>
      <c r="I156" s="1360"/>
      <c r="J156" s="1360"/>
    </row>
    <row r="157" spans="6:23" hidden="1" x14ac:dyDescent="0.2">
      <c r="F157" s="1360"/>
      <c r="G157" s="1360"/>
      <c r="H157" s="1360"/>
      <c r="I157" s="1360"/>
      <c r="J157" s="1360"/>
    </row>
    <row r="158" spans="6:23" hidden="1" x14ac:dyDescent="0.2">
      <c r="F158" s="1360"/>
      <c r="G158" s="1360"/>
      <c r="H158" s="1360"/>
      <c r="I158" s="1360"/>
      <c r="J158" s="1360"/>
    </row>
    <row r="159" spans="6:23" hidden="1" x14ac:dyDescent="0.2">
      <c r="F159" s="1360"/>
      <c r="G159" s="1360"/>
      <c r="H159" s="1360"/>
      <c r="I159" s="1360"/>
      <c r="J159" s="1360"/>
    </row>
    <row r="160" spans="6:23" hidden="1" x14ac:dyDescent="0.2">
      <c r="F160" s="1360"/>
      <c r="G160" s="1360"/>
      <c r="H160" s="1360"/>
      <c r="I160" s="1360"/>
      <c r="J160" s="1360"/>
    </row>
    <row r="161" spans="6:23" hidden="1" x14ac:dyDescent="0.2">
      <c r="F161" s="1360"/>
      <c r="G161" s="1360"/>
      <c r="H161" s="1360"/>
      <c r="I161" s="1360"/>
      <c r="J161" s="1360"/>
    </row>
    <row r="162" spans="6:23" hidden="1" x14ac:dyDescent="0.2">
      <c r="F162" s="1360"/>
      <c r="G162" s="1360"/>
      <c r="H162" s="1360"/>
      <c r="I162" s="1360"/>
      <c r="J162" s="1360"/>
    </row>
    <row r="163" spans="6:23" hidden="1" x14ac:dyDescent="0.2">
      <c r="F163" s="1360"/>
      <c r="G163" s="1360"/>
      <c r="H163" s="1360"/>
      <c r="I163" s="1360"/>
      <c r="J163" s="1360"/>
      <c r="L163" s="32"/>
      <c r="M163" s="32"/>
      <c r="N163" s="32"/>
      <c r="T163" s="32"/>
      <c r="U163" s="32"/>
      <c r="V163" s="32"/>
      <c r="W163" s="32"/>
    </row>
    <row r="164" spans="6:23" hidden="1" x14ac:dyDescent="0.2">
      <c r="F164" s="1360"/>
      <c r="G164" s="1360"/>
      <c r="H164" s="1360"/>
      <c r="I164" s="1360"/>
      <c r="J164" s="1360"/>
      <c r="L164" s="32"/>
      <c r="M164" s="32"/>
      <c r="N164" s="32"/>
      <c r="T164" s="32"/>
      <c r="U164" s="32"/>
      <c r="V164" s="32"/>
      <c r="W164" s="32"/>
    </row>
    <row r="165" spans="6:23" hidden="1" x14ac:dyDescent="0.2">
      <c r="F165" s="1360"/>
      <c r="G165" s="1360"/>
      <c r="H165" s="1360"/>
      <c r="I165" s="1360"/>
      <c r="J165" s="1360"/>
      <c r="L165" s="32"/>
      <c r="M165" s="32"/>
      <c r="N165" s="32"/>
      <c r="T165" s="32"/>
      <c r="U165" s="32"/>
      <c r="V165" s="32"/>
      <c r="W165" s="32"/>
    </row>
    <row r="166" spans="6:23" hidden="1" x14ac:dyDescent="0.2">
      <c r="F166" s="1360"/>
      <c r="G166" s="1360"/>
      <c r="H166" s="1360"/>
      <c r="I166" s="1360"/>
      <c r="J166" s="1360"/>
      <c r="L166" s="32"/>
      <c r="M166" s="32"/>
      <c r="N166" s="32"/>
      <c r="T166" s="32"/>
      <c r="U166" s="32"/>
      <c r="V166" s="32"/>
      <c r="W166" s="32"/>
    </row>
    <row r="167" spans="6:23" hidden="1" x14ac:dyDescent="0.2">
      <c r="F167" s="1360"/>
      <c r="G167" s="1360"/>
      <c r="H167" s="1360"/>
      <c r="I167" s="1360"/>
      <c r="J167" s="1360"/>
      <c r="L167" s="32"/>
      <c r="M167" s="32"/>
      <c r="N167" s="32"/>
      <c r="T167" s="32"/>
      <c r="U167" s="32"/>
      <c r="V167" s="32"/>
      <c r="W167" s="32"/>
    </row>
    <row r="168" spans="6:23" hidden="1" x14ac:dyDescent="0.2">
      <c r="F168" s="1360"/>
      <c r="G168" s="1360"/>
      <c r="H168" s="1360"/>
      <c r="I168" s="1360"/>
      <c r="J168" s="1360"/>
      <c r="L168" s="32"/>
      <c r="M168" s="32"/>
      <c r="N168" s="32"/>
      <c r="T168" s="32"/>
      <c r="U168" s="32"/>
      <c r="V168" s="32"/>
      <c r="W168" s="32"/>
    </row>
    <row r="169" spans="6:23" hidden="1" x14ac:dyDescent="0.2">
      <c r="F169" s="1360"/>
      <c r="G169" s="1360"/>
      <c r="H169" s="1360"/>
      <c r="I169" s="1360"/>
      <c r="J169" s="1360"/>
      <c r="L169" s="32"/>
      <c r="M169" s="32"/>
      <c r="N169" s="32"/>
      <c r="T169" s="32"/>
      <c r="U169" s="32"/>
      <c r="V169" s="32"/>
      <c r="W169" s="32"/>
    </row>
    <row r="170" spans="6:23" hidden="1" x14ac:dyDescent="0.2">
      <c r="F170" s="1360"/>
      <c r="G170" s="1360"/>
      <c r="H170" s="1360"/>
      <c r="I170" s="1360"/>
      <c r="J170" s="1360"/>
      <c r="L170" s="32"/>
      <c r="M170" s="32"/>
      <c r="N170" s="32"/>
      <c r="T170" s="32"/>
      <c r="U170" s="32"/>
      <c r="V170" s="32"/>
      <c r="W170" s="32"/>
    </row>
    <row r="171" spans="6:23" hidden="1" x14ac:dyDescent="0.2">
      <c r="F171" s="1360"/>
      <c r="G171" s="1360"/>
      <c r="H171" s="1360"/>
      <c r="I171" s="1360"/>
      <c r="J171" s="1360"/>
      <c r="L171" s="32"/>
      <c r="M171" s="32"/>
      <c r="N171" s="32"/>
      <c r="T171" s="32"/>
      <c r="U171" s="32"/>
      <c r="V171" s="32"/>
      <c r="W171" s="32"/>
    </row>
    <row r="172" spans="6:23" hidden="1" x14ac:dyDescent="0.2">
      <c r="F172" s="1360"/>
      <c r="G172" s="1360"/>
      <c r="H172" s="1360"/>
      <c r="I172" s="1360"/>
      <c r="J172" s="1360"/>
      <c r="L172" s="32"/>
      <c r="M172" s="32"/>
      <c r="N172" s="32"/>
      <c r="T172" s="32"/>
      <c r="U172" s="32"/>
      <c r="V172" s="32"/>
      <c r="W172" s="32"/>
    </row>
    <row r="173" spans="6:23" hidden="1" x14ac:dyDescent="0.2">
      <c r="F173" s="1360"/>
      <c r="G173" s="1360"/>
      <c r="H173" s="1360"/>
      <c r="I173" s="1360"/>
      <c r="J173" s="1360"/>
      <c r="L173" s="32"/>
      <c r="M173" s="32"/>
      <c r="N173" s="32"/>
      <c r="T173" s="32"/>
      <c r="U173" s="32"/>
      <c r="V173" s="32"/>
      <c r="W173" s="32"/>
    </row>
    <row r="174" spans="6:23" hidden="1" x14ac:dyDescent="0.2">
      <c r="F174" s="1360"/>
      <c r="G174" s="1360"/>
      <c r="H174" s="1360"/>
      <c r="I174" s="1360"/>
      <c r="J174" s="1360"/>
      <c r="L174" s="32"/>
      <c r="M174" s="32"/>
      <c r="N174" s="32"/>
      <c r="T174" s="32"/>
      <c r="U174" s="32"/>
      <c r="V174" s="32"/>
      <c r="W174" s="32"/>
    </row>
    <row r="175" spans="6:23" hidden="1" x14ac:dyDescent="0.2">
      <c r="F175" s="1360"/>
      <c r="G175" s="1360"/>
      <c r="H175" s="1360"/>
      <c r="I175" s="1360"/>
      <c r="J175" s="1360"/>
      <c r="L175" s="32"/>
      <c r="M175" s="32"/>
      <c r="N175" s="32"/>
      <c r="T175" s="32"/>
      <c r="U175" s="32"/>
      <c r="V175" s="32"/>
      <c r="W175" s="32"/>
    </row>
    <row r="176" spans="6:23" hidden="1" x14ac:dyDescent="0.2">
      <c r="F176" s="1360"/>
      <c r="G176" s="1360"/>
      <c r="H176" s="1360"/>
      <c r="I176" s="1360"/>
      <c r="J176" s="1360"/>
    </row>
    <row r="177" spans="6:10" hidden="1" x14ac:dyDescent="0.2">
      <c r="F177" s="1360"/>
      <c r="G177" s="1360"/>
      <c r="H177" s="1360"/>
      <c r="I177" s="1360"/>
      <c r="J177" s="1360"/>
    </row>
    <row r="178" spans="6:10" hidden="1" x14ac:dyDescent="0.2">
      <c r="F178" s="1360"/>
      <c r="G178" s="1360"/>
      <c r="H178" s="1360"/>
      <c r="I178" s="1360"/>
      <c r="J178" s="1360"/>
    </row>
    <row r="179" spans="6:10" hidden="1" x14ac:dyDescent="0.2">
      <c r="F179" s="1360"/>
      <c r="G179" s="1360"/>
      <c r="H179" s="1360"/>
      <c r="I179" s="1360"/>
      <c r="J179" s="1360"/>
    </row>
    <row r="180" spans="6:10" hidden="1" x14ac:dyDescent="0.2">
      <c r="F180" s="1360"/>
      <c r="G180" s="1360"/>
      <c r="H180" s="1360"/>
      <c r="I180" s="1360"/>
      <c r="J180" s="1360"/>
    </row>
    <row r="181" spans="6:10" hidden="1" x14ac:dyDescent="0.2">
      <c r="F181" s="1360"/>
      <c r="G181" s="1360"/>
      <c r="H181" s="1360"/>
      <c r="I181" s="1360"/>
      <c r="J181" s="1360"/>
    </row>
    <row r="182" spans="6:10" hidden="1" x14ac:dyDescent="0.2">
      <c r="F182" s="1360"/>
      <c r="G182" s="1360"/>
      <c r="H182" s="1360"/>
      <c r="I182" s="1360"/>
      <c r="J182" s="1360"/>
    </row>
    <row r="183" spans="6:10" hidden="1" x14ac:dyDescent="0.2">
      <c r="F183" s="1360"/>
      <c r="G183" s="1360"/>
      <c r="H183" s="1360"/>
      <c r="I183" s="1360"/>
      <c r="J183" s="1360"/>
    </row>
    <row r="184" spans="6:10" hidden="1" x14ac:dyDescent="0.2">
      <c r="F184" s="1360"/>
      <c r="G184" s="1360"/>
      <c r="H184" s="1360"/>
      <c r="I184" s="1360"/>
      <c r="J184" s="1360"/>
    </row>
    <row r="185" spans="6:10" hidden="1" x14ac:dyDescent="0.2">
      <c r="F185" s="1360"/>
      <c r="G185" s="1360"/>
      <c r="H185" s="1360"/>
      <c r="I185" s="1360"/>
      <c r="J185" s="1360"/>
    </row>
    <row r="186" spans="6:10" hidden="1" x14ac:dyDescent="0.2">
      <c r="F186" s="1360"/>
      <c r="G186" s="1360"/>
      <c r="H186" s="1360"/>
      <c r="I186" s="1360"/>
      <c r="J186" s="1360"/>
    </row>
    <row r="187" spans="6:10" hidden="1" x14ac:dyDescent="0.2">
      <c r="F187" s="1360"/>
      <c r="G187" s="1360"/>
      <c r="H187" s="1360"/>
      <c r="I187" s="1360"/>
      <c r="J187" s="1360"/>
    </row>
    <row r="188" spans="6:10" hidden="1" x14ac:dyDescent="0.2">
      <c r="F188" s="1360"/>
      <c r="G188" s="1360"/>
      <c r="H188" s="1360"/>
      <c r="I188" s="1360"/>
      <c r="J188" s="1360"/>
    </row>
    <row r="189" spans="6:10" hidden="1" x14ac:dyDescent="0.2">
      <c r="F189" s="1360"/>
      <c r="G189" s="1360"/>
      <c r="H189" s="1360"/>
      <c r="I189" s="1360"/>
      <c r="J189" s="1360"/>
    </row>
    <row r="190" spans="6:10" hidden="1" x14ac:dyDescent="0.2">
      <c r="F190" s="1360"/>
      <c r="G190" s="1360"/>
      <c r="H190" s="1360"/>
      <c r="I190" s="1360"/>
      <c r="J190" s="1360"/>
    </row>
    <row r="191" spans="6:10" hidden="1" x14ac:dyDescent="0.2">
      <c r="F191" s="1360"/>
      <c r="G191" s="1360"/>
      <c r="H191" s="1360"/>
      <c r="I191" s="1360"/>
      <c r="J191" s="1360"/>
    </row>
    <row r="192" spans="6:10" hidden="1" x14ac:dyDescent="0.2">
      <c r="F192" s="1360"/>
      <c r="G192" s="1360"/>
      <c r="H192" s="1360"/>
      <c r="I192" s="1360"/>
      <c r="J192" s="1360"/>
    </row>
    <row r="193" spans="6:10" hidden="1" x14ac:dyDescent="0.2">
      <c r="F193" s="1360"/>
      <c r="G193" s="1360"/>
      <c r="H193" s="1360"/>
      <c r="I193" s="1360"/>
      <c r="J193" s="1360"/>
    </row>
    <row r="194" spans="6:10" hidden="1" x14ac:dyDescent="0.2">
      <c r="F194" s="1360"/>
      <c r="G194" s="1360"/>
      <c r="H194" s="1360"/>
      <c r="I194" s="1360"/>
      <c r="J194" s="1360"/>
    </row>
    <row r="195" spans="6:10" hidden="1" x14ac:dyDescent="0.2">
      <c r="F195" s="1360"/>
      <c r="G195" s="1360"/>
      <c r="H195" s="1360"/>
      <c r="I195" s="1360"/>
      <c r="J195" s="1360"/>
    </row>
    <row r="196" spans="6:10" hidden="1" x14ac:dyDescent="0.2">
      <c r="F196" s="1360"/>
      <c r="G196" s="1360"/>
      <c r="H196" s="1360"/>
      <c r="I196" s="1360"/>
      <c r="J196" s="1360"/>
    </row>
    <row r="197" spans="6:10" hidden="1" x14ac:dyDescent="0.2">
      <c r="F197" s="1360"/>
      <c r="G197" s="1360"/>
      <c r="H197" s="1360"/>
      <c r="I197" s="1360"/>
      <c r="J197" s="1360"/>
    </row>
    <row r="198" spans="6:10" hidden="1" x14ac:dyDescent="0.2">
      <c r="F198" s="1360"/>
      <c r="G198" s="1360"/>
      <c r="H198" s="1360"/>
      <c r="I198" s="1360"/>
      <c r="J198" s="1360"/>
    </row>
    <row r="199" spans="6:10" hidden="1" x14ac:dyDescent="0.2">
      <c r="F199" s="1360"/>
      <c r="G199" s="1360"/>
      <c r="H199" s="1360"/>
      <c r="I199" s="1360"/>
      <c r="J199" s="1360"/>
    </row>
    <row r="200" spans="6:10" hidden="1" x14ac:dyDescent="0.2">
      <c r="F200" s="1360"/>
      <c r="G200" s="1360"/>
      <c r="H200" s="1360"/>
      <c r="I200" s="1360"/>
      <c r="J200" s="1360"/>
    </row>
    <row r="201" spans="6:10" hidden="1" x14ac:dyDescent="0.2">
      <c r="F201" s="1360"/>
      <c r="G201" s="1360"/>
      <c r="H201" s="1360"/>
      <c r="I201" s="1360"/>
      <c r="J201" s="1360"/>
    </row>
    <row r="202" spans="6:10" hidden="1" x14ac:dyDescent="0.2">
      <c r="F202" s="1360"/>
      <c r="G202" s="1360"/>
      <c r="H202" s="1360"/>
      <c r="I202" s="1360"/>
      <c r="J202" s="1360"/>
    </row>
    <row r="203" spans="6:10" hidden="1" x14ac:dyDescent="0.2">
      <c r="F203" s="1360"/>
      <c r="G203" s="1360"/>
      <c r="H203" s="1360"/>
      <c r="I203" s="1360"/>
      <c r="J203" s="1360"/>
    </row>
    <row r="204" spans="6:10" hidden="1" x14ac:dyDescent="0.2">
      <c r="F204" s="1360"/>
      <c r="G204" s="1360"/>
      <c r="H204" s="1360"/>
      <c r="I204" s="1360"/>
      <c r="J204" s="1360"/>
    </row>
    <row r="205" spans="6:10" hidden="1" x14ac:dyDescent="0.2">
      <c r="F205" s="1360"/>
      <c r="G205" s="1360"/>
      <c r="H205" s="1360"/>
      <c r="I205" s="1360"/>
      <c r="J205" s="1360"/>
    </row>
    <row r="206" spans="6:10" hidden="1" x14ac:dyDescent="0.2">
      <c r="F206" s="1360"/>
      <c r="G206" s="1360"/>
      <c r="H206" s="1360"/>
      <c r="I206" s="1360"/>
      <c r="J206" s="1360"/>
    </row>
    <row r="207" spans="6:10" hidden="1" x14ac:dyDescent="0.2">
      <c r="F207" s="1360"/>
      <c r="G207" s="1360"/>
      <c r="H207" s="1360"/>
      <c r="I207" s="1360"/>
      <c r="J207" s="1360"/>
    </row>
    <row r="208" spans="6:10" hidden="1" x14ac:dyDescent="0.2">
      <c r="F208" s="1360"/>
      <c r="G208" s="1360"/>
      <c r="H208" s="1360"/>
      <c r="I208" s="1360"/>
      <c r="J208" s="1360"/>
    </row>
    <row r="209" spans="6:10" hidden="1" x14ac:dyDescent="0.2">
      <c r="F209" s="1360"/>
      <c r="G209" s="1360"/>
      <c r="H209" s="1360"/>
      <c r="I209" s="1360"/>
      <c r="J209" s="1360"/>
    </row>
    <row r="210" spans="6:10" hidden="1" x14ac:dyDescent="0.2">
      <c r="F210" s="1360"/>
      <c r="G210" s="1360"/>
      <c r="H210" s="1360"/>
      <c r="I210" s="1360"/>
      <c r="J210" s="1360"/>
    </row>
    <row r="211" spans="6:10" hidden="1" x14ac:dyDescent="0.2">
      <c r="F211" s="1360"/>
      <c r="G211" s="1360"/>
      <c r="H211" s="1360"/>
      <c r="I211" s="1360"/>
      <c r="J211" s="1360"/>
    </row>
    <row r="212" spans="6:10" hidden="1" x14ac:dyDescent="0.2">
      <c r="F212" s="1360"/>
      <c r="G212" s="1360"/>
      <c r="H212" s="1360"/>
      <c r="I212" s="1360"/>
      <c r="J212" s="1360"/>
    </row>
    <row r="213" spans="6:10" hidden="1" x14ac:dyDescent="0.2">
      <c r="F213" s="1360"/>
      <c r="G213" s="1360"/>
      <c r="H213" s="1360"/>
      <c r="I213" s="1360"/>
      <c r="J213" s="1360"/>
    </row>
    <row r="214" spans="6:10" hidden="1" x14ac:dyDescent="0.2">
      <c r="F214" s="1360"/>
      <c r="G214" s="1360"/>
      <c r="H214" s="1360"/>
      <c r="I214" s="1360"/>
      <c r="J214" s="1360"/>
    </row>
    <row r="215" spans="6:10" hidden="1" x14ac:dyDescent="0.2">
      <c r="F215" s="1360"/>
      <c r="G215" s="1360"/>
      <c r="H215" s="1360"/>
      <c r="I215" s="1360"/>
      <c r="J215" s="1360"/>
    </row>
    <row r="216" spans="6:10" hidden="1" x14ac:dyDescent="0.2">
      <c r="F216" s="1360"/>
      <c r="G216" s="1360"/>
      <c r="H216" s="1360"/>
      <c r="I216" s="1360"/>
      <c r="J216" s="1360"/>
    </row>
    <row r="217" spans="6:10" hidden="1" x14ac:dyDescent="0.2">
      <c r="F217" s="1360"/>
      <c r="G217" s="1360"/>
      <c r="H217" s="1360"/>
      <c r="I217" s="1360"/>
      <c r="J217" s="1360"/>
    </row>
    <row r="218" spans="6:10" hidden="1" x14ac:dyDescent="0.2">
      <c r="F218" s="1360"/>
      <c r="G218" s="1360"/>
      <c r="H218" s="1360"/>
      <c r="I218" s="1360"/>
      <c r="J218" s="1360"/>
    </row>
    <row r="219" spans="6:10" hidden="1" x14ac:dyDescent="0.2">
      <c r="F219" s="1360"/>
      <c r="G219" s="1360"/>
      <c r="H219" s="1360"/>
      <c r="I219" s="1360"/>
      <c r="J219" s="1360"/>
    </row>
    <row r="220" spans="6:10" hidden="1" x14ac:dyDescent="0.2">
      <c r="F220" s="1360"/>
      <c r="G220" s="1360"/>
      <c r="H220" s="1360"/>
      <c r="I220" s="1360"/>
      <c r="J220" s="1360"/>
    </row>
    <row r="221" spans="6:10" hidden="1" x14ac:dyDescent="0.2">
      <c r="F221" s="1360"/>
      <c r="G221" s="1360"/>
      <c r="H221" s="1360"/>
      <c r="I221" s="1360"/>
      <c r="J221" s="1360"/>
    </row>
    <row r="222" spans="6:10" hidden="1" x14ac:dyDescent="0.2">
      <c r="F222" s="1360"/>
      <c r="G222" s="1360"/>
      <c r="H222" s="1360"/>
      <c r="I222" s="1360"/>
      <c r="J222" s="1360"/>
    </row>
    <row r="223" spans="6:10" hidden="1" x14ac:dyDescent="0.2">
      <c r="F223" s="1360"/>
      <c r="G223" s="1360"/>
      <c r="H223" s="1360"/>
      <c r="I223" s="1360"/>
      <c r="J223" s="1360"/>
    </row>
    <row r="224" spans="6:10" hidden="1" x14ac:dyDescent="0.2">
      <c r="F224" s="1360"/>
      <c r="G224" s="1360"/>
      <c r="H224" s="1360"/>
      <c r="I224" s="1360"/>
      <c r="J224" s="1360"/>
    </row>
    <row r="225" spans="6:10" hidden="1" x14ac:dyDescent="0.2">
      <c r="F225" s="1360"/>
      <c r="G225" s="1360"/>
      <c r="H225" s="1360"/>
      <c r="I225" s="1360"/>
      <c r="J225" s="1360"/>
    </row>
    <row r="226" spans="6:10" hidden="1" x14ac:dyDescent="0.2">
      <c r="F226" s="1360"/>
      <c r="G226" s="1360"/>
      <c r="H226" s="1360"/>
      <c r="I226" s="1360"/>
      <c r="J226" s="1360"/>
    </row>
    <row r="227" spans="6:10" hidden="1" x14ac:dyDescent="0.2">
      <c r="F227" s="1360"/>
      <c r="G227" s="1360"/>
      <c r="H227" s="1360"/>
      <c r="I227" s="1360"/>
      <c r="J227" s="1360"/>
    </row>
    <row r="228" spans="6:10" hidden="1" x14ac:dyDescent="0.2">
      <c r="F228" s="1360"/>
      <c r="G228" s="1360"/>
      <c r="H228" s="1360"/>
      <c r="I228" s="1360"/>
      <c r="J228" s="1360"/>
    </row>
    <row r="229" spans="6:10" hidden="1" x14ac:dyDescent="0.2">
      <c r="F229" s="1360"/>
      <c r="G229" s="1360"/>
      <c r="H229" s="1360"/>
      <c r="I229" s="1360"/>
      <c r="J229" s="1360"/>
    </row>
    <row r="230" spans="6:10" hidden="1" x14ac:dyDescent="0.2">
      <c r="F230" s="1360"/>
      <c r="G230" s="1360"/>
      <c r="H230" s="1360"/>
      <c r="I230" s="1360"/>
      <c r="J230" s="1360"/>
    </row>
    <row r="231" spans="6:10" hidden="1" x14ac:dyDescent="0.2">
      <c r="F231" s="1360"/>
      <c r="G231" s="1360"/>
      <c r="H231" s="1360"/>
      <c r="I231" s="1360"/>
      <c r="J231" s="1360"/>
    </row>
    <row r="232" spans="6:10" hidden="1" x14ac:dyDescent="0.2">
      <c r="F232" s="1360"/>
      <c r="G232" s="1360"/>
      <c r="H232" s="1360"/>
      <c r="I232" s="1360"/>
      <c r="J232" s="1360"/>
    </row>
    <row r="233" spans="6:10" hidden="1" x14ac:dyDescent="0.2">
      <c r="F233" s="1360"/>
      <c r="G233" s="1360"/>
      <c r="H233" s="1360"/>
      <c r="I233" s="1360"/>
      <c r="J233" s="1360"/>
    </row>
    <row r="234" spans="6:10" hidden="1" x14ac:dyDescent="0.2">
      <c r="F234" s="1360"/>
      <c r="G234" s="1360"/>
      <c r="H234" s="1360"/>
      <c r="I234" s="1360"/>
      <c r="J234" s="1360"/>
    </row>
    <row r="235" spans="6:10" hidden="1" x14ac:dyDescent="0.2">
      <c r="F235" s="1360"/>
      <c r="G235" s="1360"/>
      <c r="H235" s="1360"/>
      <c r="I235" s="1360"/>
      <c r="J235" s="1360"/>
    </row>
    <row r="236" spans="6:10" hidden="1" x14ac:dyDescent="0.2">
      <c r="F236" s="1360"/>
      <c r="G236" s="1360"/>
      <c r="H236" s="1360"/>
      <c r="I236" s="1360"/>
      <c r="J236" s="1360"/>
    </row>
    <row r="237" spans="6:10" hidden="1" x14ac:dyDescent="0.2">
      <c r="F237" s="1360"/>
      <c r="G237" s="1360"/>
      <c r="H237" s="1360"/>
      <c r="I237" s="1360"/>
      <c r="J237" s="1360"/>
    </row>
    <row r="238" spans="6:10" hidden="1" x14ac:dyDescent="0.2">
      <c r="F238" s="1360"/>
      <c r="G238" s="1360"/>
      <c r="H238" s="1360"/>
      <c r="I238" s="1360"/>
      <c r="J238" s="1360"/>
    </row>
    <row r="239" spans="6:10" hidden="1" x14ac:dyDescent="0.2">
      <c r="F239" s="1360"/>
      <c r="G239" s="1360"/>
      <c r="H239" s="1360"/>
      <c r="I239" s="1360"/>
      <c r="J239" s="1360"/>
    </row>
    <row r="240" spans="6:10" hidden="1" x14ac:dyDescent="0.2">
      <c r="F240" s="1360"/>
      <c r="G240" s="1360"/>
      <c r="H240" s="1360"/>
      <c r="I240" s="1360"/>
      <c r="J240" s="1360"/>
    </row>
    <row r="241" spans="6:10" hidden="1" x14ac:dyDescent="0.2">
      <c r="F241" s="1360"/>
      <c r="G241" s="1360"/>
      <c r="H241" s="1360"/>
      <c r="I241" s="1360"/>
      <c r="J241" s="1360"/>
    </row>
    <row r="242" spans="6:10" hidden="1" x14ac:dyDescent="0.2">
      <c r="F242" s="1360"/>
      <c r="G242" s="1360"/>
      <c r="H242" s="1360"/>
      <c r="I242" s="1360"/>
      <c r="J242" s="1360"/>
    </row>
    <row r="243" spans="6:10" hidden="1" x14ac:dyDescent="0.2">
      <c r="F243" s="1360"/>
      <c r="G243" s="1360"/>
      <c r="H243" s="1360"/>
      <c r="I243" s="1360"/>
      <c r="J243" s="1360"/>
    </row>
    <row r="244" spans="6:10" hidden="1" x14ac:dyDescent="0.2">
      <c r="F244" s="1360"/>
      <c r="G244" s="1360"/>
      <c r="H244" s="1360"/>
      <c r="I244" s="1360"/>
      <c r="J244" s="1360"/>
    </row>
    <row r="245" spans="6:10" hidden="1" x14ac:dyDescent="0.2">
      <c r="F245" s="1360"/>
      <c r="G245" s="1360"/>
      <c r="H245" s="1360"/>
      <c r="I245" s="1360"/>
      <c r="J245" s="1360"/>
    </row>
    <row r="246" spans="6:10" hidden="1" x14ac:dyDescent="0.2">
      <c r="F246" s="1360"/>
      <c r="G246" s="1360"/>
      <c r="H246" s="1360"/>
      <c r="I246" s="1360"/>
      <c r="J246" s="1360"/>
    </row>
    <row r="247" spans="6:10" hidden="1" x14ac:dyDescent="0.2">
      <c r="F247" s="1360"/>
      <c r="G247" s="1360"/>
      <c r="H247" s="1360"/>
      <c r="I247" s="1360"/>
      <c r="J247" s="1360"/>
    </row>
    <row r="248" spans="6:10" hidden="1" x14ac:dyDescent="0.2">
      <c r="F248" s="1360"/>
      <c r="G248" s="1360"/>
      <c r="H248" s="1360"/>
      <c r="I248" s="1360"/>
      <c r="J248" s="1360"/>
    </row>
    <row r="249" spans="6:10" hidden="1" x14ac:dyDescent="0.2">
      <c r="F249" s="1360"/>
      <c r="G249" s="1360"/>
      <c r="H249" s="1360"/>
      <c r="I249" s="1360"/>
      <c r="J249" s="1360"/>
    </row>
    <row r="250" spans="6:10" hidden="1" x14ac:dyDescent="0.2">
      <c r="F250" s="1360"/>
      <c r="G250" s="1360"/>
      <c r="H250" s="1360"/>
      <c r="I250" s="1360"/>
      <c r="J250" s="1360"/>
    </row>
    <row r="251" spans="6:10" hidden="1" x14ac:dyDescent="0.2">
      <c r="F251" s="1360"/>
      <c r="G251" s="1360"/>
      <c r="H251" s="1360"/>
      <c r="I251" s="1360"/>
      <c r="J251" s="1360"/>
    </row>
    <row r="252" spans="6:10" hidden="1" x14ac:dyDescent="0.2">
      <c r="F252" s="1360"/>
      <c r="G252" s="1360"/>
      <c r="H252" s="1360"/>
      <c r="I252" s="1360"/>
      <c r="J252" s="1360"/>
    </row>
    <row r="253" spans="6:10" hidden="1" x14ac:dyDescent="0.2">
      <c r="F253" s="1360"/>
      <c r="G253" s="1360"/>
      <c r="H253" s="1360"/>
      <c r="I253" s="1360"/>
      <c r="J253" s="1360"/>
    </row>
    <row r="254" spans="6:10" hidden="1" x14ac:dyDescent="0.2">
      <c r="F254" s="1360"/>
      <c r="G254" s="1360"/>
      <c r="H254" s="1360"/>
      <c r="I254" s="1360"/>
      <c r="J254" s="1360"/>
    </row>
    <row r="255" spans="6:10" hidden="1" x14ac:dyDescent="0.2">
      <c r="F255" s="1360"/>
      <c r="G255" s="1360"/>
      <c r="H255" s="1360"/>
      <c r="I255" s="1360"/>
      <c r="J255" s="1360"/>
    </row>
    <row r="256" spans="6:10" hidden="1" x14ac:dyDescent="0.2">
      <c r="F256" s="1360"/>
      <c r="G256" s="1360"/>
      <c r="H256" s="1360"/>
      <c r="I256" s="1360"/>
      <c r="J256" s="1360"/>
    </row>
    <row r="257" spans="6:10" hidden="1" x14ac:dyDescent="0.2">
      <c r="F257" s="1360"/>
      <c r="G257" s="1360"/>
      <c r="H257" s="1360"/>
      <c r="I257" s="1360"/>
      <c r="J257" s="1360"/>
    </row>
    <row r="258" spans="6:10" hidden="1" x14ac:dyDescent="0.2">
      <c r="F258" s="1360"/>
      <c r="G258" s="1360"/>
      <c r="H258" s="1360"/>
      <c r="I258" s="1360"/>
      <c r="J258" s="1360"/>
    </row>
    <row r="259" spans="6:10" hidden="1" x14ac:dyDescent="0.2">
      <c r="F259" s="1360"/>
      <c r="G259" s="1360"/>
      <c r="H259" s="1360"/>
      <c r="I259" s="1360"/>
      <c r="J259" s="1360"/>
    </row>
    <row r="260" spans="6:10" hidden="1" x14ac:dyDescent="0.2">
      <c r="F260" s="1360"/>
      <c r="G260" s="1360"/>
      <c r="H260" s="1360"/>
      <c r="I260" s="1360"/>
      <c r="J260" s="1360"/>
    </row>
    <row r="261" spans="6:10" hidden="1" x14ac:dyDescent="0.2">
      <c r="F261" s="1360"/>
      <c r="G261" s="1360"/>
      <c r="H261" s="1360"/>
      <c r="I261" s="1360"/>
      <c r="J261" s="1360"/>
    </row>
    <row r="262" spans="6:10" hidden="1" x14ac:dyDescent="0.2">
      <c r="F262" s="1360"/>
      <c r="G262" s="1360"/>
      <c r="H262" s="1360"/>
      <c r="I262" s="1360"/>
      <c r="J262" s="1360"/>
    </row>
    <row r="263" spans="6:10" hidden="1" x14ac:dyDescent="0.2">
      <c r="F263" s="1360"/>
      <c r="G263" s="1360"/>
      <c r="H263" s="1360"/>
      <c r="I263" s="1360"/>
      <c r="J263" s="1360"/>
    </row>
    <row r="264" spans="6:10" hidden="1" x14ac:dyDescent="0.2">
      <c r="F264" s="1360"/>
      <c r="G264" s="1360"/>
      <c r="H264" s="1360"/>
      <c r="I264" s="1360"/>
      <c r="J264" s="1360"/>
    </row>
    <row r="265" spans="6:10" hidden="1" x14ac:dyDescent="0.2">
      <c r="F265" s="1360"/>
      <c r="G265" s="1360"/>
      <c r="H265" s="1360"/>
      <c r="I265" s="1360"/>
      <c r="J265" s="1360"/>
    </row>
    <row r="266" spans="6:10" hidden="1" x14ac:dyDescent="0.2">
      <c r="F266" s="1360"/>
      <c r="G266" s="1360"/>
      <c r="H266" s="1360"/>
      <c r="I266" s="1360"/>
      <c r="J266" s="1360"/>
    </row>
    <row r="267" spans="6:10" hidden="1" x14ac:dyDescent="0.2">
      <c r="F267" s="1360"/>
      <c r="G267" s="1360"/>
      <c r="H267" s="1360"/>
      <c r="I267" s="1360"/>
      <c r="J267" s="1360"/>
    </row>
    <row r="268" spans="6:10" hidden="1" x14ac:dyDescent="0.2">
      <c r="F268" s="1360"/>
      <c r="G268" s="1360"/>
      <c r="H268" s="1360"/>
      <c r="I268" s="1360"/>
      <c r="J268" s="1360"/>
    </row>
    <row r="269" spans="6:10" hidden="1" x14ac:dyDescent="0.2">
      <c r="F269" s="1360"/>
      <c r="G269" s="1360"/>
      <c r="H269" s="1360"/>
      <c r="I269" s="1360"/>
      <c r="J269" s="1360"/>
    </row>
    <row r="270" spans="6:10" hidden="1" x14ac:dyDescent="0.2">
      <c r="F270" s="1360"/>
      <c r="G270" s="1360"/>
      <c r="H270" s="1360"/>
      <c r="I270" s="1360"/>
      <c r="J270" s="1360"/>
    </row>
    <row r="271" spans="6:10" hidden="1" x14ac:dyDescent="0.2">
      <c r="F271" s="1360"/>
      <c r="G271" s="1360"/>
      <c r="H271" s="1360"/>
      <c r="I271" s="1360"/>
      <c r="J271" s="1360"/>
    </row>
    <row r="272" spans="6:10" hidden="1" x14ac:dyDescent="0.2">
      <c r="F272" s="1360"/>
      <c r="G272" s="1360"/>
      <c r="H272" s="1360"/>
      <c r="I272" s="1360"/>
      <c r="J272" s="1360"/>
    </row>
    <row r="273" spans="6:10" hidden="1" x14ac:dyDescent="0.2">
      <c r="F273" s="1360"/>
      <c r="G273" s="1360"/>
      <c r="H273" s="1360"/>
      <c r="I273" s="1360"/>
      <c r="J273" s="1360"/>
    </row>
    <row r="274" spans="6:10" hidden="1" x14ac:dyDescent="0.2">
      <c r="F274" s="1360"/>
      <c r="G274" s="1360"/>
      <c r="H274" s="1360"/>
      <c r="I274" s="1360"/>
      <c r="J274" s="1360"/>
    </row>
    <row r="275" spans="6:10" hidden="1" x14ac:dyDescent="0.2">
      <c r="F275" s="1360"/>
      <c r="G275" s="1360"/>
      <c r="H275" s="1360"/>
      <c r="I275" s="1360"/>
      <c r="J275" s="1360"/>
    </row>
    <row r="276" spans="6:10" hidden="1" x14ac:dyDescent="0.2">
      <c r="F276" s="1360"/>
      <c r="G276" s="1360"/>
      <c r="H276" s="1360"/>
      <c r="I276" s="1360"/>
      <c r="J276" s="1360"/>
    </row>
    <row r="277" spans="6:10" hidden="1" x14ac:dyDescent="0.2">
      <c r="F277" s="1360"/>
      <c r="G277" s="1360"/>
      <c r="H277" s="1360"/>
      <c r="I277" s="1360"/>
      <c r="J277" s="1360"/>
    </row>
    <row r="278" spans="6:10" hidden="1" x14ac:dyDescent="0.2">
      <c r="F278" s="1360"/>
      <c r="G278" s="1360"/>
      <c r="H278" s="1360"/>
      <c r="I278" s="1360"/>
      <c r="J278" s="1360"/>
    </row>
    <row r="279" spans="6:10" hidden="1" x14ac:dyDescent="0.2">
      <c r="F279" s="1360"/>
      <c r="G279" s="1360"/>
      <c r="H279" s="1360"/>
      <c r="I279" s="1360"/>
      <c r="J279" s="1360"/>
    </row>
    <row r="280" spans="6:10" hidden="1" x14ac:dyDescent="0.2">
      <c r="F280" s="1360"/>
      <c r="G280" s="1360"/>
      <c r="H280" s="1360"/>
      <c r="I280" s="1360"/>
      <c r="J280" s="1360"/>
    </row>
    <row r="281" spans="6:10" hidden="1" x14ac:dyDescent="0.2">
      <c r="F281" s="1360"/>
      <c r="G281" s="1360"/>
      <c r="H281" s="1360"/>
      <c r="I281" s="1360"/>
      <c r="J281" s="1360"/>
    </row>
    <row r="282" spans="6:10" hidden="1" x14ac:dyDescent="0.2">
      <c r="F282" s="1360"/>
      <c r="G282" s="1360"/>
      <c r="H282" s="1360"/>
      <c r="I282" s="1360"/>
      <c r="J282" s="1360"/>
    </row>
    <row r="283" spans="6:10" hidden="1" x14ac:dyDescent="0.2">
      <c r="F283" s="1360"/>
      <c r="G283" s="1360"/>
      <c r="H283" s="1360"/>
      <c r="I283" s="1360"/>
      <c r="J283" s="1360"/>
    </row>
    <row r="284" spans="6:10" hidden="1" x14ac:dyDescent="0.2">
      <c r="F284" s="1360"/>
      <c r="G284" s="1360"/>
      <c r="H284" s="1360"/>
      <c r="I284" s="1360"/>
      <c r="J284" s="1360"/>
    </row>
    <row r="285" spans="6:10" hidden="1" x14ac:dyDescent="0.2">
      <c r="F285" s="1360"/>
      <c r="G285" s="1360"/>
      <c r="H285" s="1360"/>
      <c r="I285" s="1360"/>
      <c r="J285" s="1360"/>
    </row>
    <row r="286" spans="6:10" hidden="1" x14ac:dyDescent="0.2">
      <c r="F286" s="1360"/>
      <c r="G286" s="1360"/>
      <c r="H286" s="1360"/>
      <c r="I286" s="1360"/>
      <c r="J286" s="1360"/>
    </row>
    <row r="287" spans="6:10" hidden="1" x14ac:dyDescent="0.2">
      <c r="F287" s="1360"/>
      <c r="G287" s="1360"/>
      <c r="H287" s="1360"/>
      <c r="I287" s="1360"/>
      <c r="J287" s="1360"/>
    </row>
    <row r="288" spans="6:10" hidden="1" x14ac:dyDescent="0.2">
      <c r="F288" s="1360"/>
      <c r="G288" s="1360"/>
      <c r="H288" s="1360"/>
      <c r="I288" s="1360"/>
      <c r="J288" s="1360"/>
    </row>
    <row r="289" spans="1:15" hidden="1" x14ac:dyDescent="0.2">
      <c r="F289" s="1360"/>
      <c r="G289" s="1360"/>
      <c r="H289" s="1360"/>
      <c r="I289" s="1360"/>
      <c r="J289" s="1360"/>
    </row>
    <row r="290" spans="1:15" hidden="1" x14ac:dyDescent="0.2">
      <c r="F290" s="1360"/>
      <c r="G290" s="1360"/>
      <c r="H290" s="1360"/>
      <c r="I290" s="1360"/>
      <c r="J290" s="1360"/>
    </row>
    <row r="291" spans="1:15" hidden="1" x14ac:dyDescent="0.2">
      <c r="F291" s="1360"/>
      <c r="G291" s="1360"/>
      <c r="H291" s="1360"/>
      <c r="I291" s="1360"/>
      <c r="J291" s="1360"/>
    </row>
    <row r="292" spans="1:15" hidden="1" x14ac:dyDescent="0.2">
      <c r="F292" s="1360"/>
      <c r="G292" s="1360"/>
      <c r="H292" s="1360"/>
      <c r="I292" s="1360"/>
      <c r="J292" s="1360"/>
    </row>
    <row r="293" spans="1:15" hidden="1" x14ac:dyDescent="0.2">
      <c r="F293" s="1360"/>
      <c r="G293" s="1360"/>
      <c r="H293" s="1360"/>
      <c r="I293" s="1360"/>
      <c r="J293" s="1360"/>
    </row>
    <row r="294" spans="1:15" hidden="1" x14ac:dyDescent="0.2">
      <c r="F294" s="1360"/>
      <c r="G294" s="1360"/>
      <c r="H294" s="1360"/>
      <c r="I294" s="1360"/>
      <c r="J294" s="1360"/>
    </row>
    <row r="295" spans="1:15" hidden="1" x14ac:dyDescent="0.2">
      <c r="F295" s="1360"/>
      <c r="G295" s="1360"/>
      <c r="H295" s="1360"/>
      <c r="I295" s="1360"/>
      <c r="J295" s="1360"/>
    </row>
    <row r="296" spans="1:15" hidden="1" x14ac:dyDescent="0.2">
      <c r="F296" s="1360"/>
      <c r="G296" s="1360"/>
      <c r="H296" s="1360"/>
      <c r="I296" s="1360"/>
      <c r="J296" s="1360"/>
    </row>
    <row r="297" spans="1:15" hidden="1" x14ac:dyDescent="0.2">
      <c r="F297" s="1360"/>
      <c r="G297" s="1360"/>
      <c r="H297" s="1360"/>
      <c r="I297" s="1360"/>
      <c r="J297" s="1360"/>
    </row>
    <row r="298" spans="1:15" x14ac:dyDescent="0.2">
      <c r="F298" s="1360"/>
      <c r="G298" s="1360"/>
      <c r="H298" s="1360"/>
      <c r="I298" s="1360"/>
      <c r="J298" s="1360"/>
    </row>
    <row r="299" spans="1:15" x14ac:dyDescent="0.2">
      <c r="A299" s="277"/>
      <c r="B299" s="277"/>
      <c r="C299" s="1364" t="s">
        <v>190</v>
      </c>
      <c r="D299" s="617"/>
      <c r="E299" s="617"/>
    </row>
    <row r="300" spans="1:15" x14ac:dyDescent="0.2">
      <c r="A300" s="279">
        <v>1</v>
      </c>
      <c r="B300" s="1334" t="str">
        <f>IFERROR(INDEX(B$1:B$100,MATCH(A300,A$1:A$100,0)),"")</f>
        <v>Ivar Viljaste, Sirje Viljaste</v>
      </c>
      <c r="C300" s="55">
        <f>MAX(A300:A315)</f>
        <v>16</v>
      </c>
      <c r="D300" s="55"/>
      <c r="E300" s="55"/>
    </row>
    <row r="301" spans="1:15" x14ac:dyDescent="0.2">
      <c r="A301" s="279">
        <v>2</v>
      </c>
      <c r="B301" s="1334" t="str">
        <f t="shared" ref="B301:B315" si="11">IFERROR(INDEX(B$1:B$100,MATCH(A301,A$1:A$100,0)),"")</f>
        <v>Henri Mitt, Urmas Jõeäär</v>
      </c>
      <c r="C301" s="34">
        <f>C300-1</f>
        <v>15</v>
      </c>
      <c r="D301" s="34"/>
      <c r="E301" s="34"/>
      <c r="O301" s="188"/>
    </row>
    <row r="302" spans="1:15" x14ac:dyDescent="0.2">
      <c r="A302" s="279">
        <v>3</v>
      </c>
      <c r="B302" s="1334" t="str">
        <f t="shared" si="11"/>
        <v>Aleksander Korikov, Fredi Müür</v>
      </c>
      <c r="C302" s="34">
        <f>C301-1</f>
        <v>14</v>
      </c>
      <c r="D302" s="34"/>
      <c r="E302" s="34"/>
      <c r="O302" s="188"/>
    </row>
    <row r="303" spans="1:15" x14ac:dyDescent="0.2">
      <c r="A303" s="279">
        <v>4</v>
      </c>
      <c r="B303" s="1334" t="str">
        <f t="shared" si="11"/>
        <v>Mait Metsla, Matti Vinni</v>
      </c>
      <c r="C303" s="34">
        <v>12.5</v>
      </c>
      <c r="D303" s="34"/>
      <c r="E303" s="34"/>
      <c r="O303" s="188"/>
    </row>
    <row r="304" spans="1:15" x14ac:dyDescent="0.2">
      <c r="A304" s="279">
        <v>4</v>
      </c>
      <c r="B304" s="1334" t="str">
        <f>B12</f>
        <v>Elmo Lageda, Tõnu Piik</v>
      </c>
      <c r="C304" s="34">
        <v>12.5</v>
      </c>
      <c r="D304" s="34"/>
      <c r="E304" s="34"/>
      <c r="O304" s="188"/>
    </row>
    <row r="305" spans="1:15" x14ac:dyDescent="0.2">
      <c r="A305" s="279">
        <v>6</v>
      </c>
      <c r="B305" s="1334" t="str">
        <f t="shared" si="11"/>
        <v>Kenneth Muusikus, Väino Aul</v>
      </c>
      <c r="C305" s="34">
        <v>11</v>
      </c>
      <c r="D305" s="34"/>
      <c r="E305" s="34"/>
    </row>
    <row r="306" spans="1:15" x14ac:dyDescent="0.2">
      <c r="A306" s="279">
        <v>7</v>
      </c>
      <c r="B306" s="1334" t="str">
        <f t="shared" si="11"/>
        <v>Enn Tokman, Tõnu Kapper</v>
      </c>
      <c r="C306" s="34">
        <v>10</v>
      </c>
      <c r="D306" s="34"/>
      <c r="E306" s="34"/>
    </row>
    <row r="307" spans="1:15" x14ac:dyDescent="0.2">
      <c r="A307" s="279">
        <v>8</v>
      </c>
      <c r="B307" s="1334" t="str">
        <f t="shared" si="11"/>
        <v>Oksana Sažina, Oleg Rõndenkov</v>
      </c>
      <c r="C307" s="34">
        <v>9</v>
      </c>
      <c r="D307" s="34"/>
      <c r="E307" s="34"/>
      <c r="O307" s="188"/>
    </row>
    <row r="308" spans="1:15" x14ac:dyDescent="0.2">
      <c r="A308" s="279">
        <v>9</v>
      </c>
      <c r="B308" s="1334" t="str">
        <f t="shared" si="11"/>
        <v>Anna Romanenko, Tarmo Müür</v>
      </c>
      <c r="C308" s="34">
        <v>7.5</v>
      </c>
      <c r="D308" s="34"/>
      <c r="E308" s="34"/>
      <c r="O308" s="188"/>
    </row>
    <row r="309" spans="1:15" x14ac:dyDescent="0.2">
      <c r="A309" s="279">
        <v>9</v>
      </c>
      <c r="B309" s="1334" t="str">
        <f>B17</f>
        <v>Argo Sepp, Jaan Sepp</v>
      </c>
      <c r="C309" s="34">
        <v>7.5</v>
      </c>
      <c r="D309" s="34"/>
      <c r="E309" s="34"/>
      <c r="O309" s="188"/>
    </row>
    <row r="310" spans="1:15" x14ac:dyDescent="0.2">
      <c r="A310" s="279">
        <v>11</v>
      </c>
      <c r="B310" s="1334" t="str">
        <f t="shared" si="11"/>
        <v>Andrei Grintšak, Daniil Alekankin</v>
      </c>
      <c r="C310" s="34">
        <v>5.5</v>
      </c>
      <c r="D310" s="34"/>
      <c r="E310" s="34"/>
    </row>
    <row r="311" spans="1:15" x14ac:dyDescent="0.2">
      <c r="A311" s="279">
        <v>11</v>
      </c>
      <c r="B311" s="1334" t="str">
        <f>B19</f>
        <v>Brigitta Neiland, Einar Juhkam, Johannes Neiland</v>
      </c>
      <c r="C311" s="34">
        <v>5.5</v>
      </c>
      <c r="D311" s="34"/>
      <c r="E311" s="34"/>
    </row>
    <row r="312" spans="1:15" x14ac:dyDescent="0.2">
      <c r="A312" s="279">
        <v>13</v>
      </c>
      <c r="B312" s="1334" t="str">
        <f t="shared" si="11"/>
        <v>Meelis Luud, Urmas Randlaine</v>
      </c>
      <c r="C312" s="34">
        <v>4</v>
      </c>
      <c r="D312" s="34"/>
      <c r="E312" s="34"/>
      <c r="F312" s="862"/>
    </row>
    <row r="313" spans="1:15" x14ac:dyDescent="0.2">
      <c r="A313" s="279">
        <v>14</v>
      </c>
      <c r="B313" s="1334" t="str">
        <f t="shared" si="11"/>
        <v>Karla Purgats, Lemmit Toomra</v>
      </c>
      <c r="C313" s="34">
        <f>C312-1</f>
        <v>3</v>
      </c>
      <c r="D313" s="34"/>
      <c r="E313" s="34"/>
      <c r="F313" s="34"/>
      <c r="O313" s="188"/>
    </row>
    <row r="314" spans="1:15" x14ac:dyDescent="0.2">
      <c r="A314" s="279">
        <v>15</v>
      </c>
      <c r="B314" s="1334" t="str">
        <f t="shared" si="11"/>
        <v>Aigi Orro, Kalle Orro</v>
      </c>
      <c r="C314" s="34">
        <f t="shared" ref="C314:C315" si="12">C313-1</f>
        <v>2</v>
      </c>
    </row>
    <row r="315" spans="1:15" x14ac:dyDescent="0.2">
      <c r="A315" s="279">
        <v>16</v>
      </c>
      <c r="B315" s="1334" t="str">
        <f t="shared" si="11"/>
        <v>Andres Veski, Svetlana Veski</v>
      </c>
      <c r="C315" s="34">
        <f t="shared" si="12"/>
        <v>1</v>
      </c>
    </row>
    <row r="316" spans="1:15" x14ac:dyDescent="0.2">
      <c r="A316" s="42"/>
      <c r="B316" s="42"/>
      <c r="C316" s="42"/>
      <c r="D316" s="42"/>
      <c r="E316" s="42"/>
      <c r="F316" s="42"/>
    </row>
    <row r="317" spans="1:15" x14ac:dyDescent="0.2">
      <c r="A317" s="42"/>
      <c r="B317" s="42"/>
      <c r="C317" s="42"/>
      <c r="D317" s="42"/>
      <c r="E317" s="42"/>
      <c r="F317" s="42"/>
      <c r="O317" s="188"/>
    </row>
    <row r="318" spans="1:15" x14ac:dyDescent="0.2">
      <c r="A318" s="42"/>
      <c r="B318" s="42"/>
      <c r="C318" s="42"/>
      <c r="D318" s="42"/>
      <c r="E318" s="42"/>
      <c r="F318" s="42"/>
    </row>
    <row r="319" spans="1:15" x14ac:dyDescent="0.2">
      <c r="A319" s="42"/>
      <c r="B319" s="42"/>
      <c r="C319" s="42"/>
      <c r="D319" s="42"/>
      <c r="E319" s="42"/>
      <c r="F319" s="42"/>
    </row>
  </sheetData>
  <conditionalFormatting sqref="A300:A315">
    <cfRule type="duplicateValues" dxfId="885" priority="50"/>
  </conditionalFormatting>
  <conditionalFormatting sqref="AI8:AI23 AO8:AO23 AM8:AM23">
    <cfRule type="expression" dxfId="884" priority="49">
      <formula>AND(AJ8="",COUNTIF(AI8,"*,*")=0)</formula>
    </cfRule>
  </conditionalFormatting>
  <conditionalFormatting sqref="AK8:AK23">
    <cfRule type="expression" dxfId="883" priority="47">
      <formula>AND(AL8="",FIND(",",AK8))</formula>
    </cfRule>
    <cfRule type="expression" dxfId="882" priority="48">
      <formula>AND(AL8="",COUNTIF(AK8,"*,*")=0)</formula>
    </cfRule>
  </conditionalFormatting>
  <conditionalFormatting sqref="B301:B315">
    <cfRule type="containsBlanks" dxfId="881" priority="45">
      <formula>LEN(TRIM(B301))=0</formula>
    </cfRule>
    <cfRule type="duplicateValues" dxfId="880" priority="46"/>
  </conditionalFormatting>
  <conditionalFormatting sqref="B300:B315">
    <cfRule type="expression" dxfId="879" priority="40">
      <formula>A300=3</formula>
    </cfRule>
    <cfRule type="expression" dxfId="878" priority="41">
      <formula>A300=2</formula>
    </cfRule>
    <cfRule type="expression" dxfId="877" priority="42">
      <formula>A300=1</formula>
    </cfRule>
    <cfRule type="containsBlanks" dxfId="876" priority="43">
      <formula>LEN(TRIM(B300))=0</formula>
    </cfRule>
    <cfRule type="duplicateValues" dxfId="875" priority="44"/>
  </conditionalFormatting>
  <conditionalFormatting sqref="C8:C23">
    <cfRule type="expression" dxfId="874" priority="22">
      <formula>IF($C8&gt;$E8,TRUE)</formula>
    </cfRule>
  </conditionalFormatting>
  <conditionalFormatting sqref="E8:E23">
    <cfRule type="expression" dxfId="873" priority="23">
      <formula>IF($C8&lt;$E8,TRUE)</formula>
    </cfRule>
  </conditionalFormatting>
  <conditionalFormatting sqref="K8:K23">
    <cfRule type="expression" dxfId="872" priority="30">
      <formula>IF($K8&gt;$M8,TRUE)</formula>
    </cfRule>
  </conditionalFormatting>
  <conditionalFormatting sqref="M8:M23">
    <cfRule type="expression" dxfId="871" priority="31">
      <formula>IF($K8&lt;$M8,TRUE)</formula>
    </cfRule>
  </conditionalFormatting>
  <conditionalFormatting sqref="O8:O23">
    <cfRule type="expression" dxfId="870" priority="34">
      <formula>IF($O8&gt;$Q8,TRUE)</formula>
    </cfRule>
  </conditionalFormatting>
  <conditionalFormatting sqref="Q8:Q23">
    <cfRule type="expression" dxfId="869" priority="35">
      <formula>IF($O8&lt;$Q8,TRUE)</formula>
    </cfRule>
  </conditionalFormatting>
  <conditionalFormatting sqref="S8:S23">
    <cfRule type="expression" dxfId="868" priority="38">
      <formula>IF($S8&gt;$U8,TRUE)</formula>
    </cfRule>
  </conditionalFormatting>
  <conditionalFormatting sqref="U8:U19">
    <cfRule type="expression" dxfId="867" priority="39">
      <formula>IF($S8&lt;$U8,TRUE)</formula>
    </cfRule>
  </conditionalFormatting>
  <conditionalFormatting sqref="G8:G23">
    <cfRule type="expression" dxfId="866" priority="26">
      <formula>IF($G8&gt;$I8,TRUE)</formula>
    </cfRule>
  </conditionalFormatting>
  <conditionalFormatting sqref="I8:I23">
    <cfRule type="expression" dxfId="865" priority="27">
      <formula>IF($G8&lt;$I8,TRUE)</formula>
    </cfRule>
  </conditionalFormatting>
  <conditionalFormatting sqref="F8:F23 N8:N23 R8:R23 V8:V23 Z8:Z23 J8:J23">
    <cfRule type="containsText" dxfId="864" priority="8" operator="containsText" text="vaba voor">
      <formula>NOT(ISERROR(SEARCH("vaba voor",F8)))</formula>
    </cfRule>
  </conditionalFormatting>
  <conditionalFormatting sqref="W8:W23">
    <cfRule type="expression" dxfId="863" priority="13">
      <formula>IF($W8&gt;$Y8,TRUE)</formula>
    </cfRule>
  </conditionalFormatting>
  <conditionalFormatting sqref="Y8:Y23">
    <cfRule type="expression" dxfId="862" priority="14">
      <formula>IF($W8&lt;$Y8,TRUE)</formula>
    </cfRule>
  </conditionalFormatting>
  <conditionalFormatting sqref="C8:F23">
    <cfRule type="expression" dxfId="861" priority="18">
      <formula>IF(AND(ISNUMBER($C8),$C8=$E8),TRUE)</formula>
    </cfRule>
    <cfRule type="expression" dxfId="860" priority="20">
      <formula>IF($C8&gt;$E8,TRUE)</formula>
    </cfRule>
    <cfRule type="expression" dxfId="859" priority="21">
      <formula>IF($C8&lt;$E8,TRUE)</formula>
    </cfRule>
  </conditionalFormatting>
  <conditionalFormatting sqref="G8:J23">
    <cfRule type="expression" dxfId="858" priority="19">
      <formula>IF(AND(ISNUMBER($G8),$G8=$I8),TRUE)</formula>
    </cfRule>
    <cfRule type="expression" dxfId="857" priority="24">
      <formula>IF($G8&gt;$I8,TRUE)</formula>
    </cfRule>
    <cfRule type="expression" dxfId="856" priority="25">
      <formula>IF($G8&lt;$I8,TRUE)</formula>
    </cfRule>
  </conditionalFormatting>
  <conditionalFormatting sqref="K8:N23">
    <cfRule type="expression" dxfId="855" priority="17">
      <formula>IF(AND(ISNUMBER($K8),$K8=$M8),TRUE)</formula>
    </cfRule>
    <cfRule type="expression" dxfId="854" priority="28">
      <formula>IF($K8&gt;$M8,TRUE)</formula>
    </cfRule>
    <cfRule type="expression" dxfId="853" priority="29">
      <formula>IF($K8&lt;$M8,TRUE)</formula>
    </cfRule>
  </conditionalFormatting>
  <conditionalFormatting sqref="O8:R23">
    <cfRule type="expression" dxfId="852" priority="16">
      <formula>IF(AND(ISNUMBER($O8),$O8=$Q8),TRUE)</formula>
    </cfRule>
    <cfRule type="expression" dxfId="851" priority="32">
      <formula>IF($O8&gt;$Q8,TRUE)</formula>
    </cfRule>
    <cfRule type="expression" dxfId="850" priority="33">
      <formula>IF($O8&lt;$Q8,TRUE)</formula>
    </cfRule>
  </conditionalFormatting>
  <conditionalFormatting sqref="S8:V23">
    <cfRule type="expression" dxfId="849" priority="15">
      <formula>IF(AND(ISNUMBER($S8),$S8=$U8),TRUE)</formula>
    </cfRule>
    <cfRule type="expression" dxfId="848" priority="36">
      <formula>IF($S8&gt;$U8,TRUE)</formula>
    </cfRule>
    <cfRule type="expression" dxfId="847" priority="37">
      <formula>IF($S8&lt;$U8,TRUE)</formula>
    </cfRule>
  </conditionalFormatting>
  <conditionalFormatting sqref="W8:Z23">
    <cfRule type="expression" dxfId="846" priority="10">
      <formula>IF(AND(ISNUMBER($W8),$W8=$Y8),TRUE)</formula>
    </cfRule>
    <cfRule type="expression" dxfId="845" priority="11">
      <formula>IF($W8&gt;$Y8,TRUE)</formula>
    </cfRule>
    <cfRule type="expression" dxfId="844" priority="12">
      <formula>IF($W8&lt;$Y8,TRUE)</formula>
    </cfRule>
  </conditionalFormatting>
  <conditionalFormatting sqref="C8:C23 G8:G23 K8:K23 O8:O23 S8:S23 W8:W23">
    <cfRule type="expression" dxfId="843" priority="1">
      <formula>AND(ISNUMBER(C8),C8&lt;1,ISNUMBER(E8))</formula>
    </cfRule>
  </conditionalFormatting>
  <conditionalFormatting sqref="E8:E23 I8:I23 M8:M23 Q8:Q23 U8:U23 Y8:Y23">
    <cfRule type="expression" dxfId="842" priority="2">
      <formula>AND(ISNUMBER(E8),E8&lt;1,ISNUMBER(C8))</formula>
    </cfRule>
  </conditionalFormatting>
  <conditionalFormatting sqref="A8:A23">
    <cfRule type="duplicateValues" dxfId="841" priority="3257"/>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CCFFCC"/>
    <pageSetUpPr fitToPage="1"/>
  </sheetPr>
  <dimension ref="A1:AP317"/>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30.7109375" style="32" bestFit="1"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UPPER((Kalend!E17)&amp;" - "&amp;(Kalend!C17)&amp;" - "&amp;(Kalend!D17))</f>
        <v>V3 - VOKA 5. KV 3.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"&amp;(Kalend!A17)&amp;" kell "&amp;(Kalend!B17)</f>
        <v>Toimumisaeg: K, 06.06.2018 kell 18:00</v>
      </c>
      <c r="Y2" s="56" t="s">
        <v>449</v>
      </c>
      <c r="AE2" s="56" t="s">
        <v>449</v>
      </c>
    </row>
    <row r="3" spans="1:42" x14ac:dyDescent="0.2">
      <c r="A3" s="2" t="str">
        <f>"Toimumiskoht: "&amp;(Kalend!F17)</f>
        <v>Toimumiskoht: Voka staadion</v>
      </c>
      <c r="G3" s="1337"/>
      <c r="H3" s="1337"/>
      <c r="I3" s="1338" t="s">
        <v>446</v>
      </c>
      <c r="J3" s="659">
        <v>1</v>
      </c>
      <c r="K3" s="188" t="s">
        <v>493</v>
      </c>
    </row>
    <row r="4" spans="1:42" x14ac:dyDescent="0.2">
      <c r="A4" s="2" t="str">
        <f>"Korraldaja: "&amp;(Kalend!G17)</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51" t="s">
        <v>440</v>
      </c>
      <c r="C8" s="1323">
        <v>13</v>
      </c>
      <c r="D8" s="1324" t="s">
        <v>211</v>
      </c>
      <c r="E8" s="1325">
        <v>6</v>
      </c>
      <c r="F8" s="1315" t="str">
        <f>B12</f>
        <v>Andrei Grintšak, Argo Sepp</v>
      </c>
      <c r="G8" s="1323">
        <v>13</v>
      </c>
      <c r="H8" s="1324" t="s">
        <v>211</v>
      </c>
      <c r="I8" s="1325">
        <v>3</v>
      </c>
      <c r="J8" s="1315" t="str">
        <f>B9</f>
        <v>Ivar Viljaste, Kristo Viljaste</v>
      </c>
      <c r="K8" s="1323">
        <v>8</v>
      </c>
      <c r="L8" s="1324" t="s">
        <v>211</v>
      </c>
      <c r="M8" s="1325">
        <v>13</v>
      </c>
      <c r="N8" s="1315" t="str">
        <f>B13</f>
        <v>Johannes Neiland, Väino Aul</v>
      </c>
      <c r="O8" s="1323">
        <v>13</v>
      </c>
      <c r="P8" s="1324" t="s">
        <v>211</v>
      </c>
      <c r="Q8" s="1325">
        <v>1</v>
      </c>
      <c r="R8" s="1315" t="str">
        <f>B18</f>
        <v>Enn Tokman, Tarmo Bombe</v>
      </c>
      <c r="S8" s="1323">
        <v>13</v>
      </c>
      <c r="T8" s="1324" t="s">
        <v>211</v>
      </c>
      <c r="U8" s="1325">
        <v>6</v>
      </c>
      <c r="V8" s="1315" t="str">
        <f>B15</f>
        <v>Karla Purgats, Lemmit Toomra</v>
      </c>
      <c r="W8" s="1323"/>
      <c r="X8" s="1324" t="s">
        <v>211</v>
      </c>
      <c r="Y8" s="1325"/>
      <c r="Z8" s="1315"/>
      <c r="AA8" s="1330">
        <f t="shared" ref="AA8:AA22" si="0">IF(C8&gt;E8,J$3,IF(C8&lt;E8,J$5,IF(ISNUMBER(C8),J$4,0)))+IF(G8&gt;I8,J$3,IF(G8&lt;I8,J$5,IF(ISNUMBER(G8),J$4,0)))+IF(K8&gt;M8,J$3,IF(K8&lt;M8,J$5,IF(ISNUMBER(K8),J$4,0)))+IF(O8&gt;Q8,J$3,IF(O8&lt;Q8,J$5,IF(ISNUMBER(O8),J$4,0)))+IF(S8&gt;U8,J$3,IF(S8&lt;U8,J$5,IF(ISNUMBER(S8),J$4,0)))+IF(W8&gt;Y8,J$3,IF(W8&lt;Y8,J$5,IF(ISNUMBER(W8),J$4,0)))</f>
        <v>4</v>
      </c>
      <c r="AB8" s="1331"/>
      <c r="AC8" s="1323">
        <f t="shared" ref="AC8:AC22" si="1">C8+G8+K8+O8+S8+W8</f>
        <v>60</v>
      </c>
      <c r="AD8" s="1324" t="s">
        <v>211</v>
      </c>
      <c r="AE8" s="1326">
        <f t="shared" ref="AE8:AE22" si="2">E8+I8+M8+Q8+U8+Y8</f>
        <v>29</v>
      </c>
      <c r="AF8" s="1327">
        <f t="shared" ref="AF8:AF22" si="3">AC8-AE8</f>
        <v>31</v>
      </c>
      <c r="AG8" s="663"/>
      <c r="AH8" s="499">
        <f t="shared" ref="AH8" si="4">SUM(AJ8:AP8)</f>
        <v>154</v>
      </c>
      <c r="AI8" s="605" t="str">
        <f t="shared" ref="AI8:AI22" si="5">IFERROR(LEFT($B8,(FIND(",",$B8,1)-1)),"")</f>
        <v>Jaan Sepp</v>
      </c>
      <c r="AJ8" s="604">
        <f>IFERROR(INDEX(V!$N:$N,MATCH(AI8,V!$I:$I,0)),"")</f>
        <v>98</v>
      </c>
      <c r="AK8" s="605" t="str">
        <f t="shared" ref="AK8:AK22" si="6">IFERROR(MID($B8,FIND(", ",$B8)+2,256),"")</f>
        <v>Oskar Sepp</v>
      </c>
      <c r="AL8" s="604">
        <f>IFERROR(INDEX(V!$N:$N,MATCH(AK8,V!$I:$I,0)),"")</f>
        <v>56</v>
      </c>
      <c r="AM8" s="603" t="str">
        <f t="shared" ref="AM8:AM22" si="7">IFERROR(MID($B8,FIND("^",SUBSTITUTE($B8,", ","^",1))+2,FIND("^",SUBSTITUTE($B8,", ","^",2))-FIND("^",SUBSTITUTE($B8,", ","^",1))-2),"")</f>
        <v/>
      </c>
      <c r="AN8" s="604" t="str">
        <f>IFERROR(INDEX(V!$N:$N,MATCH(AM8,V!$I:$I,0)),"")</f>
        <v/>
      </c>
      <c r="AO8" s="603" t="str">
        <f t="shared" ref="AO8:AO22" si="8">IFERROR(MID($B8,FIND(", ",$B8,FIND(", ",$B8,FIND(", ",$B8))+1)+2,700),"")</f>
        <v/>
      </c>
      <c r="AP8" s="604" t="str">
        <f>IFERROR(INDEX(V!$N:$N,MATCH(AO8,V!$I:$I,0)),"")</f>
        <v/>
      </c>
    </row>
    <row r="9" spans="1:42" ht="12.75" customHeight="1" x14ac:dyDescent="0.2">
      <c r="A9" s="1319">
        <v>2</v>
      </c>
      <c r="B9" s="1351" t="s">
        <v>480</v>
      </c>
      <c r="C9" s="1323">
        <v>13</v>
      </c>
      <c r="D9" s="1324" t="s">
        <v>211</v>
      </c>
      <c r="E9" s="1325">
        <v>8</v>
      </c>
      <c r="F9" s="1315" t="str">
        <f>B16</f>
        <v>Einar Juhkam, Kenneth Muusikus</v>
      </c>
      <c r="G9" s="1323">
        <v>3</v>
      </c>
      <c r="H9" s="1324" t="s">
        <v>211</v>
      </c>
      <c r="I9" s="1325">
        <v>13</v>
      </c>
      <c r="J9" s="1315" t="str">
        <f>B8</f>
        <v>Jaan Sepp, Oskar Sepp</v>
      </c>
      <c r="K9" s="1323">
        <v>13</v>
      </c>
      <c r="L9" s="1324" t="s">
        <v>211</v>
      </c>
      <c r="M9" s="1325">
        <v>3</v>
      </c>
      <c r="N9" s="1315" t="str">
        <f>B19</f>
        <v>Meelis Luud, Urmas Randlaine</v>
      </c>
      <c r="O9" s="1323">
        <v>13</v>
      </c>
      <c r="P9" s="1324" t="s">
        <v>211</v>
      </c>
      <c r="Q9" s="1325">
        <v>9</v>
      </c>
      <c r="R9" s="1315" t="str">
        <f>B12</f>
        <v>Andrei Grintšak, Argo Sepp</v>
      </c>
      <c r="S9" s="1323">
        <v>13</v>
      </c>
      <c r="T9" s="1324" t="s">
        <v>211</v>
      </c>
      <c r="U9" s="1325">
        <v>4</v>
      </c>
      <c r="V9" s="1315" t="str">
        <f>B10</f>
        <v>Mait Metsla, Matti Vinni</v>
      </c>
      <c r="W9" s="1323"/>
      <c r="X9" s="1324" t="s">
        <v>211</v>
      </c>
      <c r="Y9" s="1325"/>
      <c r="Z9" s="1315"/>
      <c r="AA9" s="1330">
        <f t="shared" si="0"/>
        <v>4</v>
      </c>
      <c r="AB9" s="1331"/>
      <c r="AC9" s="1323">
        <f t="shared" si="1"/>
        <v>55</v>
      </c>
      <c r="AD9" s="1324" t="s">
        <v>211</v>
      </c>
      <c r="AE9" s="1326">
        <f t="shared" si="2"/>
        <v>37</v>
      </c>
      <c r="AF9" s="1327">
        <f t="shared" si="3"/>
        <v>18</v>
      </c>
      <c r="AG9" s="663"/>
      <c r="AH9" s="499">
        <f t="shared" ref="AH9:AH18" si="9">SUM(AJ9:AP9)</f>
        <v>87</v>
      </c>
      <c r="AI9" s="605" t="str">
        <f t="shared" si="5"/>
        <v>Ivar Viljaste</v>
      </c>
      <c r="AJ9" s="604">
        <f>IFERROR(INDEX(V!$N:$N,MATCH(AI9,V!$I:$I,0)),"")</f>
        <v>59</v>
      </c>
      <c r="AK9" s="605" t="str">
        <f t="shared" si="6"/>
        <v>Kristo Viljaste</v>
      </c>
      <c r="AL9" s="604">
        <f>IFERROR(INDEX(V!$N:$N,MATCH(AK9,V!$I:$I,0)),"")</f>
        <v>28</v>
      </c>
      <c r="AM9" s="603" t="str">
        <f t="shared" si="7"/>
        <v/>
      </c>
      <c r="AN9" s="604" t="str">
        <f>IFERROR(INDEX(V!$N:$N,MATCH(AM9,V!$I:$I,0)),"")</f>
        <v/>
      </c>
      <c r="AO9" s="603" t="str">
        <f t="shared" si="8"/>
        <v/>
      </c>
      <c r="AP9" s="604" t="str">
        <f>IFERROR(INDEX(V!$N:$N,MATCH(AO9,V!$I:$I,0)),"")</f>
        <v/>
      </c>
    </row>
    <row r="10" spans="1:42" ht="12.75" customHeight="1" x14ac:dyDescent="0.2">
      <c r="A10" s="1319">
        <v>3</v>
      </c>
      <c r="B10" s="1352" t="s">
        <v>481</v>
      </c>
      <c r="C10" s="1323">
        <v>13</v>
      </c>
      <c r="D10" s="1324" t="s">
        <v>211</v>
      </c>
      <c r="E10" s="1325">
        <v>2</v>
      </c>
      <c r="F10" s="1315" t="str">
        <f>B15</f>
        <v>Karla Purgats, Lemmit Toomra</v>
      </c>
      <c r="G10" s="1323">
        <v>13</v>
      </c>
      <c r="H10" s="1324" t="s">
        <v>211</v>
      </c>
      <c r="I10" s="1325">
        <v>7</v>
      </c>
      <c r="J10" s="1315" t="str">
        <f>B17</f>
        <v>Elmo Lageda, Tõnu Piik</v>
      </c>
      <c r="K10" s="1323">
        <v>13</v>
      </c>
      <c r="L10" s="1324" t="s">
        <v>211</v>
      </c>
      <c r="M10" s="1325">
        <v>4</v>
      </c>
      <c r="N10" s="1315" t="str">
        <f>B20</f>
        <v>Janek Tarto, Romek Tarto</v>
      </c>
      <c r="O10" s="1323">
        <v>13</v>
      </c>
      <c r="P10" s="1324" t="s">
        <v>211</v>
      </c>
      <c r="Q10" s="1325">
        <v>3</v>
      </c>
      <c r="R10" s="1315" t="str">
        <f>B13</f>
        <v>Johannes Neiland, Väino Aul</v>
      </c>
      <c r="S10" s="1323">
        <v>4</v>
      </c>
      <c r="T10" s="1324" t="s">
        <v>211</v>
      </c>
      <c r="U10" s="1325">
        <v>13</v>
      </c>
      <c r="V10" s="1315" t="str">
        <f>B9</f>
        <v>Ivar Viljaste, Kristo Viljaste</v>
      </c>
      <c r="W10" s="1323"/>
      <c r="X10" s="1324" t="s">
        <v>211</v>
      </c>
      <c r="Y10" s="1325"/>
      <c r="Z10" s="1315"/>
      <c r="AA10" s="1330">
        <f t="shared" si="0"/>
        <v>4</v>
      </c>
      <c r="AB10" s="1331"/>
      <c r="AC10" s="1323">
        <f t="shared" si="1"/>
        <v>56</v>
      </c>
      <c r="AD10" s="1324" t="s">
        <v>211</v>
      </c>
      <c r="AE10" s="1326">
        <f t="shared" si="2"/>
        <v>29</v>
      </c>
      <c r="AF10" s="1327">
        <f t="shared" si="3"/>
        <v>27</v>
      </c>
      <c r="AG10" s="663"/>
      <c r="AH10" s="499">
        <f t="shared" si="9"/>
        <v>123</v>
      </c>
      <c r="AI10" s="605" t="str">
        <f t="shared" si="5"/>
        <v>Mait Metsla</v>
      </c>
      <c r="AJ10" s="604">
        <f>IFERROR(INDEX(V!$N:$N,MATCH(AI10,V!$I:$I,0)),"")</f>
        <v>89</v>
      </c>
      <c r="AK10" s="605" t="str">
        <f t="shared" si="6"/>
        <v>Matti Vinni</v>
      </c>
      <c r="AL10" s="604">
        <f>IFERROR(INDEX(V!$N:$N,MATCH(AK10,V!$I:$I,0)),"")</f>
        <v>34</v>
      </c>
      <c r="AM10" s="603" t="str">
        <f t="shared" si="7"/>
        <v/>
      </c>
      <c r="AN10" s="604" t="str">
        <f>IFERROR(INDEX(V!$N:$N,MATCH(AM10,V!$I:$I,0)),"")</f>
        <v/>
      </c>
      <c r="AO10" s="603" t="str">
        <f t="shared" si="8"/>
        <v/>
      </c>
      <c r="AP10" s="604" t="str">
        <f>IFERROR(INDEX(V!$N:$N,MATCH(AO10,V!$I:$I,0)),"")</f>
        <v/>
      </c>
    </row>
    <row r="11" spans="1:42" ht="12.75" customHeight="1" x14ac:dyDescent="0.2">
      <c r="A11" s="1319">
        <v>3</v>
      </c>
      <c r="B11" s="1352" t="s">
        <v>38</v>
      </c>
      <c r="C11" s="1323">
        <v>7</v>
      </c>
      <c r="D11" s="1324" t="s">
        <v>211</v>
      </c>
      <c r="E11" s="1325">
        <v>13</v>
      </c>
      <c r="F11" s="1315" t="str">
        <f>B18</f>
        <v>Enn Tokman, Tarmo Bombe</v>
      </c>
      <c r="G11" s="1323">
        <v>13</v>
      </c>
      <c r="H11" s="1324" t="s">
        <v>211</v>
      </c>
      <c r="I11" s="1325">
        <v>4</v>
      </c>
      <c r="J11" s="1315" t="str">
        <f>B22</f>
        <v>Henri Mitt, Urmas Jõeäär</v>
      </c>
      <c r="K11" s="1323">
        <v>13</v>
      </c>
      <c r="L11" s="1324" t="s">
        <v>211</v>
      </c>
      <c r="M11" s="1325">
        <v>11</v>
      </c>
      <c r="N11" s="1315" t="str">
        <f>B17</f>
        <v>Elmo Lageda, Tõnu Piik</v>
      </c>
      <c r="O11" s="1323">
        <v>13</v>
      </c>
      <c r="P11" s="1324" t="s">
        <v>211</v>
      </c>
      <c r="Q11" s="1325">
        <v>2</v>
      </c>
      <c r="R11" s="1315" t="str">
        <f>B20</f>
        <v>Janek Tarto, Romek Tarto</v>
      </c>
      <c r="S11" s="1323">
        <v>13</v>
      </c>
      <c r="T11" s="1324" t="s">
        <v>211</v>
      </c>
      <c r="U11" s="1325">
        <v>10</v>
      </c>
      <c r="V11" s="1315" t="str">
        <f>B13</f>
        <v>Johannes Neiland, Väino Aul</v>
      </c>
      <c r="W11" s="1323"/>
      <c r="X11" s="1324" t="s">
        <v>211</v>
      </c>
      <c r="Y11" s="1325"/>
      <c r="Z11" s="1315"/>
      <c r="AA11" s="1330">
        <f t="shared" si="0"/>
        <v>4</v>
      </c>
      <c r="AB11" s="1331"/>
      <c r="AC11" s="1323">
        <f t="shared" si="1"/>
        <v>59</v>
      </c>
      <c r="AD11" s="1324" t="s">
        <v>211</v>
      </c>
      <c r="AE11" s="1326">
        <f t="shared" si="2"/>
        <v>40</v>
      </c>
      <c r="AF11" s="1327">
        <f t="shared" si="3"/>
        <v>19</v>
      </c>
      <c r="AG11" s="663"/>
      <c r="AH11" s="499">
        <f t="shared" si="9"/>
        <v>113</v>
      </c>
      <c r="AI11" s="605" t="str">
        <f t="shared" si="5"/>
        <v>Tõnu Kapper</v>
      </c>
      <c r="AJ11" s="604">
        <f>IFERROR(INDEX(V!$N:$N,MATCH(AI11,V!$I:$I,0)),"")</f>
        <v>65</v>
      </c>
      <c r="AK11" s="605" t="str">
        <f t="shared" si="6"/>
        <v>Vladimir Ogneštšikov</v>
      </c>
      <c r="AL11" s="604">
        <f>IFERROR(INDEX(V!$N:$N,MATCH(AK11,V!$I:$I,0)),"")</f>
        <v>48</v>
      </c>
      <c r="AM11" s="603" t="str">
        <f t="shared" si="7"/>
        <v/>
      </c>
      <c r="AN11" s="604" t="str">
        <f>IFERROR(INDEX(V!$N:$N,MATCH(AM11,V!$I:$I,0)),"")</f>
        <v/>
      </c>
      <c r="AO11" s="603" t="str">
        <f t="shared" si="8"/>
        <v/>
      </c>
      <c r="AP11" s="604" t="str">
        <f>IFERROR(INDEX(V!$N:$N,MATCH(AO11,V!$I:$I,0)),"")</f>
        <v/>
      </c>
    </row>
    <row r="12" spans="1:42" ht="12.75" customHeight="1" x14ac:dyDescent="0.2">
      <c r="A12" s="1319">
        <v>5</v>
      </c>
      <c r="B12" s="1352" t="s">
        <v>736</v>
      </c>
      <c r="C12" s="1323">
        <v>6</v>
      </c>
      <c r="D12" s="1324" t="s">
        <v>211</v>
      </c>
      <c r="E12" s="1325">
        <v>13</v>
      </c>
      <c r="F12" s="1315" t="str">
        <f>B8</f>
        <v>Jaan Sepp, Oskar Sepp</v>
      </c>
      <c r="G12" s="1323">
        <v>13</v>
      </c>
      <c r="H12" s="1324" t="s">
        <v>211</v>
      </c>
      <c r="I12" s="1325">
        <v>11</v>
      </c>
      <c r="J12" s="1315" t="str">
        <f>B14</f>
        <v>Oksana Sažina, Oleg Rõndenkov</v>
      </c>
      <c r="K12" s="1323">
        <v>13</v>
      </c>
      <c r="L12" s="1324" t="s">
        <v>211</v>
      </c>
      <c r="M12" s="1325">
        <v>10</v>
      </c>
      <c r="N12" s="1315" t="str">
        <f>B15</f>
        <v>Karla Purgats, Lemmit Toomra</v>
      </c>
      <c r="O12" s="1323">
        <v>9</v>
      </c>
      <c r="P12" s="1324" t="s">
        <v>211</v>
      </c>
      <c r="Q12" s="1325">
        <v>13</v>
      </c>
      <c r="R12" s="1315" t="str">
        <f>B9</f>
        <v>Ivar Viljaste, Kristo Viljaste</v>
      </c>
      <c r="S12" s="1323">
        <v>13</v>
      </c>
      <c r="T12" s="1324" t="s">
        <v>211</v>
      </c>
      <c r="U12" s="1325">
        <v>7</v>
      </c>
      <c r="V12" s="1315" t="str">
        <f>B18</f>
        <v>Enn Tokman, Tarmo Bombe</v>
      </c>
      <c r="W12" s="1323"/>
      <c r="X12" s="1324" t="s">
        <v>211</v>
      </c>
      <c r="Y12" s="1325"/>
      <c r="Z12" s="1315"/>
      <c r="AA12" s="1335">
        <f t="shared" si="0"/>
        <v>3</v>
      </c>
      <c r="AB12" s="1331"/>
      <c r="AC12" s="1323">
        <f t="shared" si="1"/>
        <v>54</v>
      </c>
      <c r="AD12" s="1324" t="s">
        <v>211</v>
      </c>
      <c r="AE12" s="1326">
        <f t="shared" si="2"/>
        <v>54</v>
      </c>
      <c r="AF12" s="1327">
        <f t="shared" si="3"/>
        <v>0</v>
      </c>
      <c r="AG12" s="663"/>
      <c r="AH12" s="499">
        <f t="shared" si="9"/>
        <v>64.5</v>
      </c>
      <c r="AI12" s="605" t="str">
        <f t="shared" si="5"/>
        <v>Andrei Grintšak</v>
      </c>
      <c r="AJ12" s="604">
        <f>IFERROR(INDEX(V!$N:$N,MATCH(AI12,V!$I:$I,0)),"")</f>
        <v>33.5</v>
      </c>
      <c r="AK12" s="605" t="str">
        <f t="shared" si="6"/>
        <v>Argo Sepp</v>
      </c>
      <c r="AL12" s="604">
        <f>IFERROR(INDEX(V!$N:$N,MATCH(AK12,V!$I:$I,0)),"")</f>
        <v>31</v>
      </c>
      <c r="AM12" s="603" t="str">
        <f t="shared" si="7"/>
        <v/>
      </c>
      <c r="AN12" s="604" t="str">
        <f>IFERROR(INDEX(V!$N:$N,MATCH(AM12,V!$I:$I,0)),"")</f>
        <v/>
      </c>
      <c r="AO12" s="603" t="str">
        <f t="shared" si="8"/>
        <v/>
      </c>
      <c r="AP12" s="604" t="str">
        <f>IFERROR(INDEX(V!$N:$N,MATCH(AO12,V!$I:$I,0)),"")</f>
        <v/>
      </c>
    </row>
    <row r="13" spans="1:42" ht="12.75" customHeight="1" x14ac:dyDescent="0.2">
      <c r="A13" s="1319">
        <v>6</v>
      </c>
      <c r="B13" s="1352" t="s">
        <v>495</v>
      </c>
      <c r="C13" s="1323">
        <v>13</v>
      </c>
      <c r="D13" s="1324" t="s">
        <v>211</v>
      </c>
      <c r="E13" s="1325">
        <v>7</v>
      </c>
      <c r="F13" s="1315" t="s">
        <v>725</v>
      </c>
      <c r="G13" s="1323">
        <v>10</v>
      </c>
      <c r="H13" s="1324" t="s">
        <v>211</v>
      </c>
      <c r="I13" s="1325">
        <v>8</v>
      </c>
      <c r="J13" s="1315" t="str">
        <f>B18</f>
        <v>Enn Tokman, Tarmo Bombe</v>
      </c>
      <c r="K13" s="1323">
        <v>13</v>
      </c>
      <c r="L13" s="1324" t="s">
        <v>211</v>
      </c>
      <c r="M13" s="1325">
        <v>8</v>
      </c>
      <c r="N13" s="1315" t="str">
        <f>B8</f>
        <v>Jaan Sepp, Oskar Sepp</v>
      </c>
      <c r="O13" s="1323">
        <v>3</v>
      </c>
      <c r="P13" s="1324" t="s">
        <v>211</v>
      </c>
      <c r="Q13" s="1325">
        <v>13</v>
      </c>
      <c r="R13" s="1315" t="str">
        <f>B10</f>
        <v>Mait Metsla, Matti Vinni</v>
      </c>
      <c r="S13" s="1323">
        <v>10</v>
      </c>
      <c r="T13" s="1324" t="s">
        <v>211</v>
      </c>
      <c r="U13" s="1325">
        <v>13</v>
      </c>
      <c r="V13" s="1315" t="str">
        <f>B11</f>
        <v>Tõnu Kapper, Vladimir Ogneštšikov</v>
      </c>
      <c r="W13" s="1323"/>
      <c r="X13" s="1324" t="s">
        <v>211</v>
      </c>
      <c r="Y13" s="1325"/>
      <c r="Z13" s="1315"/>
      <c r="AA13" s="1335">
        <f t="shared" si="0"/>
        <v>3</v>
      </c>
      <c r="AB13" s="1331"/>
      <c r="AC13" s="1323">
        <f t="shared" si="1"/>
        <v>49</v>
      </c>
      <c r="AD13" s="1324" t="s">
        <v>211</v>
      </c>
      <c r="AE13" s="1326">
        <f t="shared" si="2"/>
        <v>49</v>
      </c>
      <c r="AF13" s="1327">
        <f t="shared" si="3"/>
        <v>0</v>
      </c>
      <c r="AG13" s="663"/>
      <c r="AH13" s="499">
        <f t="shared" si="9"/>
        <v>95</v>
      </c>
      <c r="AI13" s="605" t="str">
        <f t="shared" si="5"/>
        <v>Johannes Neiland</v>
      </c>
      <c r="AJ13" s="604">
        <f>IFERROR(INDEX(V!$N:$N,MATCH(AI13,V!$I:$I,0)),"")</f>
        <v>59</v>
      </c>
      <c r="AK13" s="605" t="str">
        <f t="shared" si="6"/>
        <v>Väino Aul</v>
      </c>
      <c r="AL13" s="604">
        <f>IFERROR(INDEX(V!$N:$N,MATCH(AK13,V!$I:$I,0)),"")</f>
        <v>36</v>
      </c>
      <c r="AM13" s="603" t="str">
        <f t="shared" si="7"/>
        <v/>
      </c>
      <c r="AN13" s="604" t="str">
        <f>IFERROR(INDEX(V!$N:$N,MATCH(AM13,V!$I:$I,0)),"")</f>
        <v/>
      </c>
      <c r="AO13" s="603" t="str">
        <f t="shared" si="8"/>
        <v/>
      </c>
      <c r="AP13" s="604" t="str">
        <f>IFERROR(INDEX(V!$N:$N,MATCH(AO13,V!$I:$I,0)),"")</f>
        <v/>
      </c>
    </row>
    <row r="14" spans="1:42" ht="12.75" customHeight="1" x14ac:dyDescent="0.2">
      <c r="A14" s="1319">
        <v>7</v>
      </c>
      <c r="B14" s="1352" t="s">
        <v>35</v>
      </c>
      <c r="C14" s="1323">
        <v>8</v>
      </c>
      <c r="D14" s="1324" t="s">
        <v>211</v>
      </c>
      <c r="E14" s="1325">
        <v>13</v>
      </c>
      <c r="F14" s="1315" t="str">
        <f>B20</f>
        <v>Janek Tarto, Romek Tarto</v>
      </c>
      <c r="G14" s="1323">
        <v>11</v>
      </c>
      <c r="H14" s="1324" t="s">
        <v>211</v>
      </c>
      <c r="I14" s="1325">
        <v>13</v>
      </c>
      <c r="J14" s="1315" t="str">
        <f>B12</f>
        <v>Andrei Grintšak, Argo Sepp</v>
      </c>
      <c r="K14" s="1323">
        <v>13</v>
      </c>
      <c r="L14" s="1324" t="s">
        <v>211</v>
      </c>
      <c r="M14" s="1325">
        <v>7</v>
      </c>
      <c r="N14" s="1315" t="s">
        <v>725</v>
      </c>
      <c r="O14" s="1323">
        <v>13</v>
      </c>
      <c r="P14" s="1324" t="s">
        <v>211</v>
      </c>
      <c r="Q14" s="1325">
        <v>10</v>
      </c>
      <c r="R14" s="1315" t="str">
        <f>B21</f>
        <v>Andres Veski, Svetlana Veski</v>
      </c>
      <c r="S14" s="1323">
        <v>13</v>
      </c>
      <c r="T14" s="1324" t="s">
        <v>211</v>
      </c>
      <c r="U14" s="1325">
        <v>12</v>
      </c>
      <c r="V14" s="1315" t="str">
        <f>B16</f>
        <v>Einar Juhkam, Kenneth Muusikus</v>
      </c>
      <c r="W14" s="1323"/>
      <c r="X14" s="1324" t="s">
        <v>211</v>
      </c>
      <c r="Y14" s="1325"/>
      <c r="Z14" s="1315"/>
      <c r="AA14" s="1335">
        <f t="shared" si="0"/>
        <v>3</v>
      </c>
      <c r="AB14" s="1331"/>
      <c r="AC14" s="1323">
        <f t="shared" si="1"/>
        <v>58</v>
      </c>
      <c r="AD14" s="1324" t="s">
        <v>211</v>
      </c>
      <c r="AE14" s="1326">
        <f t="shared" si="2"/>
        <v>55</v>
      </c>
      <c r="AF14" s="1327">
        <f t="shared" si="3"/>
        <v>3</v>
      </c>
      <c r="AG14" s="663"/>
      <c r="AH14" s="499">
        <f t="shared" si="9"/>
        <v>137</v>
      </c>
      <c r="AI14" s="605" t="str">
        <f t="shared" si="5"/>
        <v>Oksana Sažina</v>
      </c>
      <c r="AJ14" s="604">
        <f>IFERROR(INDEX(V!$N:$N,MATCH(AI14,V!$I:$I,0)),"")</f>
        <v>72</v>
      </c>
      <c r="AK14" s="605" t="str">
        <f t="shared" si="6"/>
        <v>Oleg Rõndenkov</v>
      </c>
      <c r="AL14" s="604">
        <f>IFERROR(INDEX(V!$N:$N,MATCH(AK14,V!$I:$I,0)),"")</f>
        <v>65</v>
      </c>
      <c r="AM14" s="603" t="str">
        <f t="shared" si="7"/>
        <v/>
      </c>
      <c r="AN14" s="604" t="str">
        <f>IFERROR(INDEX(V!$N:$N,MATCH(AM14,V!$I:$I,0)),"")</f>
        <v/>
      </c>
      <c r="AO14" s="603" t="str">
        <f t="shared" si="8"/>
        <v/>
      </c>
      <c r="AP14" s="604" t="str">
        <f>IFERROR(INDEX(V!$N:$N,MATCH(AO14,V!$I:$I,0)),"")</f>
        <v/>
      </c>
    </row>
    <row r="15" spans="1:42" ht="12.75" customHeight="1" x14ac:dyDescent="0.2">
      <c r="A15" s="1319">
        <v>8</v>
      </c>
      <c r="B15" s="1352" t="s">
        <v>441</v>
      </c>
      <c r="C15" s="1323">
        <v>2</v>
      </c>
      <c r="D15" s="1324" t="s">
        <v>211</v>
      </c>
      <c r="E15" s="1325">
        <v>13</v>
      </c>
      <c r="F15" s="1315" t="str">
        <f>B10</f>
        <v>Mait Metsla, Matti Vinni</v>
      </c>
      <c r="G15" s="1323">
        <v>13</v>
      </c>
      <c r="H15" s="1324" t="s">
        <v>211</v>
      </c>
      <c r="I15" s="1325">
        <v>6</v>
      </c>
      <c r="J15" s="1315" t="str">
        <f>B16</f>
        <v>Einar Juhkam, Kenneth Muusikus</v>
      </c>
      <c r="K15" s="1323">
        <v>10</v>
      </c>
      <c r="L15" s="1324" t="s">
        <v>211</v>
      </c>
      <c r="M15" s="1325">
        <v>13</v>
      </c>
      <c r="N15" s="1315" t="str">
        <f>B12</f>
        <v>Andrei Grintšak, Argo Sepp</v>
      </c>
      <c r="O15" s="1323">
        <v>13</v>
      </c>
      <c r="P15" s="1324" t="s">
        <v>211</v>
      </c>
      <c r="Q15" s="1325">
        <v>7</v>
      </c>
      <c r="R15" s="1315" t="str">
        <f>B19</f>
        <v>Meelis Luud, Urmas Randlaine</v>
      </c>
      <c r="S15" s="1323">
        <v>6</v>
      </c>
      <c r="T15" s="1324" t="s">
        <v>211</v>
      </c>
      <c r="U15" s="1325">
        <v>13</v>
      </c>
      <c r="V15" s="1315" t="str">
        <f>B8</f>
        <v>Jaan Sepp, Oskar Sepp</v>
      </c>
      <c r="W15" s="1323"/>
      <c r="X15" s="1324" t="s">
        <v>211</v>
      </c>
      <c r="Y15" s="1325"/>
      <c r="Z15" s="1315"/>
      <c r="AA15" s="1330">
        <f t="shared" si="0"/>
        <v>2</v>
      </c>
      <c r="AB15" s="1331"/>
      <c r="AC15" s="1323">
        <f t="shared" si="1"/>
        <v>44</v>
      </c>
      <c r="AD15" s="1324" t="s">
        <v>211</v>
      </c>
      <c r="AE15" s="1326">
        <f t="shared" si="2"/>
        <v>52</v>
      </c>
      <c r="AF15" s="1327">
        <f t="shared" si="3"/>
        <v>-8</v>
      </c>
      <c r="AG15" s="663"/>
      <c r="AH15" s="499">
        <f t="shared" si="9"/>
        <v>92</v>
      </c>
      <c r="AI15" s="605" t="str">
        <f t="shared" si="5"/>
        <v>Karla Purgats</v>
      </c>
      <c r="AJ15" s="604">
        <f>IFERROR(INDEX(V!$N:$N,MATCH(AI15,V!$I:$I,0)),"")</f>
        <v>46.5</v>
      </c>
      <c r="AK15" s="605" t="str">
        <f t="shared" si="6"/>
        <v>Lemmit Toomra</v>
      </c>
      <c r="AL15" s="604">
        <f>IFERROR(INDEX(V!$N:$N,MATCH(AK15,V!$I:$I,0)),"")</f>
        <v>45.5</v>
      </c>
      <c r="AM15" s="603" t="str">
        <f t="shared" si="7"/>
        <v/>
      </c>
      <c r="AN15" s="604" t="str">
        <f>IFERROR(INDEX(V!$N:$N,MATCH(AM15,V!$I:$I,0)),"")</f>
        <v/>
      </c>
      <c r="AO15" s="603" t="str">
        <f t="shared" si="8"/>
        <v/>
      </c>
      <c r="AP15" s="604" t="str">
        <f>IFERROR(INDEX(V!$N:$N,MATCH(AO15,V!$I:$I,0)),"")</f>
        <v/>
      </c>
    </row>
    <row r="16" spans="1:42" ht="12.75" customHeight="1" x14ac:dyDescent="0.2">
      <c r="A16" s="1319">
        <v>9</v>
      </c>
      <c r="B16" s="1352" t="s">
        <v>496</v>
      </c>
      <c r="C16" s="1323">
        <v>8</v>
      </c>
      <c r="D16" s="1324" t="s">
        <v>211</v>
      </c>
      <c r="E16" s="1325">
        <v>13</v>
      </c>
      <c r="F16" s="1315" t="str">
        <f>B9</f>
        <v>Ivar Viljaste, Kristo Viljaste</v>
      </c>
      <c r="G16" s="1323">
        <v>6</v>
      </c>
      <c r="H16" s="1324" t="s">
        <v>211</v>
      </c>
      <c r="I16" s="1325">
        <v>13</v>
      </c>
      <c r="J16" s="1315" t="str">
        <f>B15</f>
        <v>Karla Purgats, Lemmit Toomra</v>
      </c>
      <c r="K16" s="1323">
        <v>13</v>
      </c>
      <c r="L16" s="1324" t="s">
        <v>211</v>
      </c>
      <c r="M16" s="1325">
        <v>9</v>
      </c>
      <c r="N16" s="1315" t="str">
        <f>B22</f>
        <v>Henri Mitt, Urmas Jõeäär</v>
      </c>
      <c r="O16" s="1323">
        <v>13</v>
      </c>
      <c r="P16" s="1324" t="s">
        <v>211</v>
      </c>
      <c r="Q16" s="1325">
        <v>3</v>
      </c>
      <c r="R16" s="1315" t="str">
        <f>B17</f>
        <v>Elmo Lageda, Tõnu Piik</v>
      </c>
      <c r="S16" s="1323">
        <v>12</v>
      </c>
      <c r="T16" s="1324" t="s">
        <v>211</v>
      </c>
      <c r="U16" s="1325">
        <v>13</v>
      </c>
      <c r="V16" s="1315" t="str">
        <f>B14</f>
        <v>Oksana Sažina, Oleg Rõndenkov</v>
      </c>
      <c r="W16" s="1323"/>
      <c r="X16" s="1324" t="s">
        <v>211</v>
      </c>
      <c r="Y16" s="1325"/>
      <c r="Z16" s="1315"/>
      <c r="AA16" s="1330">
        <f t="shared" si="0"/>
        <v>2</v>
      </c>
      <c r="AB16" s="1331"/>
      <c r="AC16" s="1323">
        <f t="shared" si="1"/>
        <v>52</v>
      </c>
      <c r="AD16" s="1324" t="s">
        <v>211</v>
      </c>
      <c r="AE16" s="1326">
        <f t="shared" si="2"/>
        <v>51</v>
      </c>
      <c r="AF16" s="1327">
        <f t="shared" si="3"/>
        <v>1</v>
      </c>
      <c r="AG16" s="663"/>
      <c r="AH16" s="499">
        <f t="shared" si="9"/>
        <v>121</v>
      </c>
      <c r="AI16" s="605" t="str">
        <f t="shared" si="5"/>
        <v>Einar Juhkam</v>
      </c>
      <c r="AJ16" s="604">
        <f>IFERROR(INDEX(V!$N:$N,MATCH(AI16,V!$I:$I,0)),"")</f>
        <v>34</v>
      </c>
      <c r="AK16" s="605" t="str">
        <f t="shared" si="6"/>
        <v>Kenneth Muusikus</v>
      </c>
      <c r="AL16" s="604">
        <f>IFERROR(INDEX(V!$N:$N,MATCH(AK16,V!$I:$I,0)),"")</f>
        <v>87</v>
      </c>
      <c r="AM16" s="603" t="str">
        <f t="shared" si="7"/>
        <v/>
      </c>
      <c r="AN16" s="604" t="str">
        <f>IFERROR(INDEX(V!$N:$N,MATCH(AM16,V!$I:$I,0)),"")</f>
        <v/>
      </c>
      <c r="AO16" s="603" t="str">
        <f t="shared" si="8"/>
        <v/>
      </c>
      <c r="AP16" s="604" t="str">
        <f>IFERROR(INDEX(V!$N:$N,MATCH(AO16,V!$I:$I,0)),"")</f>
        <v/>
      </c>
    </row>
    <row r="17" spans="1:42" ht="12.75" customHeight="1" x14ac:dyDescent="0.2">
      <c r="A17" s="1319">
        <v>10</v>
      </c>
      <c r="B17" s="1351" t="s">
        <v>33</v>
      </c>
      <c r="C17" s="1323">
        <v>13</v>
      </c>
      <c r="D17" s="1324" t="s">
        <v>211</v>
      </c>
      <c r="E17" s="1325">
        <v>11</v>
      </c>
      <c r="F17" s="1315" t="str">
        <f>B19</f>
        <v>Meelis Luud, Urmas Randlaine</v>
      </c>
      <c r="G17" s="1323">
        <v>7</v>
      </c>
      <c r="H17" s="1324" t="s">
        <v>211</v>
      </c>
      <c r="I17" s="1325">
        <v>13</v>
      </c>
      <c r="J17" s="1315" t="str">
        <f>B10</f>
        <v>Mait Metsla, Matti Vinni</v>
      </c>
      <c r="K17" s="1323">
        <v>11</v>
      </c>
      <c r="L17" s="1324" t="s">
        <v>211</v>
      </c>
      <c r="M17" s="1325">
        <v>13</v>
      </c>
      <c r="N17" s="1315" t="str">
        <f>B11</f>
        <v>Tõnu Kapper, Vladimir Ogneštšikov</v>
      </c>
      <c r="O17" s="1323">
        <v>3</v>
      </c>
      <c r="P17" s="1324" t="s">
        <v>211</v>
      </c>
      <c r="Q17" s="1325">
        <v>13</v>
      </c>
      <c r="R17" s="1315" t="str">
        <f>B16</f>
        <v>Einar Juhkam, Kenneth Muusikus</v>
      </c>
      <c r="S17" s="1323">
        <v>13</v>
      </c>
      <c r="T17" s="1324" t="s">
        <v>211</v>
      </c>
      <c r="U17" s="1325">
        <v>12</v>
      </c>
      <c r="V17" s="1315" t="str">
        <f>B22</f>
        <v>Henri Mitt, Urmas Jõeäär</v>
      </c>
      <c r="W17" s="1323"/>
      <c r="X17" s="1324" t="s">
        <v>211</v>
      </c>
      <c r="Y17" s="1325"/>
      <c r="Z17" s="1315"/>
      <c r="AA17" s="1330">
        <f t="shared" si="0"/>
        <v>2</v>
      </c>
      <c r="AB17" s="1331"/>
      <c r="AC17" s="1323">
        <f t="shared" si="1"/>
        <v>47</v>
      </c>
      <c r="AD17" s="1324" t="s">
        <v>211</v>
      </c>
      <c r="AE17" s="1326">
        <f t="shared" si="2"/>
        <v>62</v>
      </c>
      <c r="AF17" s="1327">
        <f t="shared" si="3"/>
        <v>-15</v>
      </c>
      <c r="AG17" s="663"/>
      <c r="AH17" s="499">
        <f t="shared" si="9"/>
        <v>180</v>
      </c>
      <c r="AI17" s="605" t="str">
        <f t="shared" si="5"/>
        <v>Elmo Lageda</v>
      </c>
      <c r="AJ17" s="604">
        <f>IFERROR(INDEX(V!$N:$N,MATCH(AI17,V!$I:$I,0)),"")</f>
        <v>91</v>
      </c>
      <c r="AK17" s="605" t="str">
        <f t="shared" si="6"/>
        <v>Tõnu Piik</v>
      </c>
      <c r="AL17" s="604">
        <f>IFERROR(INDEX(V!$N:$N,MATCH(AK17,V!$I:$I,0)),"")</f>
        <v>89</v>
      </c>
      <c r="AM17" s="603" t="str">
        <f t="shared" si="7"/>
        <v/>
      </c>
      <c r="AN17" s="604" t="str">
        <f>IFERROR(INDEX(V!$N:$N,MATCH(AM17,V!$I:$I,0)),"")</f>
        <v/>
      </c>
      <c r="AO17" s="603" t="str">
        <f t="shared" si="8"/>
        <v/>
      </c>
      <c r="AP17" s="604" t="str">
        <f>IFERROR(INDEX(V!$N:$N,MATCH(AO17,V!$I:$I,0)),"")</f>
        <v/>
      </c>
    </row>
    <row r="18" spans="1:42" ht="12.75" customHeight="1" x14ac:dyDescent="0.2">
      <c r="A18" s="1319">
        <v>11</v>
      </c>
      <c r="B18" s="1353" t="s">
        <v>39</v>
      </c>
      <c r="C18" s="1323">
        <v>13</v>
      </c>
      <c r="D18" s="1324" t="s">
        <v>211</v>
      </c>
      <c r="E18" s="1325">
        <v>7</v>
      </c>
      <c r="F18" s="1315" t="str">
        <f>B11</f>
        <v>Tõnu Kapper, Vladimir Ogneštšikov</v>
      </c>
      <c r="G18" s="1323">
        <v>8</v>
      </c>
      <c r="H18" s="1324" t="s">
        <v>211</v>
      </c>
      <c r="I18" s="1325">
        <v>10</v>
      </c>
      <c r="J18" s="1315" t="str">
        <f>B13</f>
        <v>Johannes Neiland, Väino Aul</v>
      </c>
      <c r="K18" s="1323">
        <v>13</v>
      </c>
      <c r="L18" s="1324" t="s">
        <v>211</v>
      </c>
      <c r="M18" s="1325">
        <v>1</v>
      </c>
      <c r="N18" s="1315" t="str">
        <f>B21</f>
        <v>Andres Veski, Svetlana Veski</v>
      </c>
      <c r="O18" s="1323">
        <v>1</v>
      </c>
      <c r="P18" s="1324" t="s">
        <v>211</v>
      </c>
      <c r="Q18" s="1325">
        <v>13</v>
      </c>
      <c r="R18" s="1315" t="str">
        <f>B8</f>
        <v>Jaan Sepp, Oskar Sepp</v>
      </c>
      <c r="S18" s="1323">
        <v>7</v>
      </c>
      <c r="T18" s="1324" t="s">
        <v>211</v>
      </c>
      <c r="U18" s="1325">
        <v>13</v>
      </c>
      <c r="V18" s="1315" t="str">
        <f>B12</f>
        <v>Andrei Grintšak, Argo Sepp</v>
      </c>
      <c r="W18" s="1323"/>
      <c r="X18" s="1324" t="s">
        <v>211</v>
      </c>
      <c r="Y18" s="1325"/>
      <c r="Z18" s="1315"/>
      <c r="AA18" s="1330">
        <f t="shared" si="0"/>
        <v>2</v>
      </c>
      <c r="AB18" s="1331"/>
      <c r="AC18" s="1323">
        <f t="shared" si="1"/>
        <v>42</v>
      </c>
      <c r="AD18" s="1324" t="s">
        <v>211</v>
      </c>
      <c r="AE18" s="1326">
        <f t="shared" si="2"/>
        <v>44</v>
      </c>
      <c r="AF18" s="1327">
        <f t="shared" si="3"/>
        <v>-2</v>
      </c>
      <c r="AG18" s="663"/>
      <c r="AH18" s="499">
        <f t="shared" si="9"/>
        <v>65.5</v>
      </c>
      <c r="AI18" s="605" t="str">
        <f t="shared" si="5"/>
        <v>Enn Tokman</v>
      </c>
      <c r="AJ18" s="604">
        <f>IFERROR(INDEX(V!$N:$N,MATCH(AI18,V!$I:$I,0)),"")</f>
        <v>39.5</v>
      </c>
      <c r="AK18" s="605" t="str">
        <f t="shared" si="6"/>
        <v>Tarmo Bombe</v>
      </c>
      <c r="AL18" s="604">
        <f>IFERROR(INDEX(V!$N:$N,MATCH(AK18,V!$I:$I,0)),"")</f>
        <v>26</v>
      </c>
      <c r="AM18" s="603" t="str">
        <f t="shared" si="7"/>
        <v/>
      </c>
      <c r="AN18" s="604" t="str">
        <f>IFERROR(INDEX(V!$N:$N,MATCH(AM18,V!$I:$I,0)),"")</f>
        <v/>
      </c>
      <c r="AO18" s="603" t="str">
        <f t="shared" si="8"/>
        <v/>
      </c>
      <c r="AP18" s="604" t="str">
        <f>IFERROR(INDEX(V!$N:$N,MATCH(AO18,V!$I:$I,0)),"")</f>
        <v/>
      </c>
    </row>
    <row r="19" spans="1:42" ht="12.75" customHeight="1" x14ac:dyDescent="0.2">
      <c r="A19" s="1319">
        <v>12</v>
      </c>
      <c r="B19" s="1353" t="s">
        <v>439</v>
      </c>
      <c r="C19" s="1323">
        <v>11</v>
      </c>
      <c r="D19" s="1324" t="s">
        <v>211</v>
      </c>
      <c r="E19" s="1325">
        <v>13</v>
      </c>
      <c r="F19" s="1315" t="str">
        <f>B17</f>
        <v>Elmo Lageda, Tõnu Piik</v>
      </c>
      <c r="G19" s="1323">
        <v>13</v>
      </c>
      <c r="H19" s="1324" t="s">
        <v>211</v>
      </c>
      <c r="I19" s="1325">
        <v>7</v>
      </c>
      <c r="J19" s="1315" t="s">
        <v>725</v>
      </c>
      <c r="K19" s="1323">
        <v>3</v>
      </c>
      <c r="L19" s="1324" t="s">
        <v>211</v>
      </c>
      <c r="M19" s="1325">
        <v>13</v>
      </c>
      <c r="N19" s="1315" t="str">
        <f>B9</f>
        <v>Ivar Viljaste, Kristo Viljaste</v>
      </c>
      <c r="O19" s="1323">
        <v>7</v>
      </c>
      <c r="P19" s="1324" t="s">
        <v>211</v>
      </c>
      <c r="Q19" s="1325">
        <v>13</v>
      </c>
      <c r="R19" s="1315" t="str">
        <f>B15</f>
        <v>Karla Purgats, Lemmit Toomra</v>
      </c>
      <c r="S19" s="1323">
        <v>13</v>
      </c>
      <c r="T19" s="1324" t="s">
        <v>211</v>
      </c>
      <c r="U19" s="1325">
        <v>10</v>
      </c>
      <c r="V19" s="1315" t="str">
        <f>B21</f>
        <v>Andres Veski, Svetlana Veski</v>
      </c>
      <c r="W19" s="1323"/>
      <c r="X19" s="1324" t="s">
        <v>211</v>
      </c>
      <c r="Y19" s="1325"/>
      <c r="Z19" s="1315"/>
      <c r="AA19" s="1330">
        <f t="shared" si="0"/>
        <v>2</v>
      </c>
      <c r="AB19" s="1331"/>
      <c r="AC19" s="1323">
        <f t="shared" si="1"/>
        <v>47</v>
      </c>
      <c r="AD19" s="1324" t="s">
        <v>211</v>
      </c>
      <c r="AE19" s="1326">
        <f t="shared" si="2"/>
        <v>56</v>
      </c>
      <c r="AF19" s="1327">
        <f t="shared" si="3"/>
        <v>-9</v>
      </c>
      <c r="AG19" s="663"/>
      <c r="AH19" s="499">
        <f t="shared" ref="AH19:AH22" si="10">SUM(AJ19:AP19)</f>
        <v>114</v>
      </c>
      <c r="AI19" s="605" t="str">
        <f t="shared" si="5"/>
        <v>Meelis Luud</v>
      </c>
      <c r="AJ19" s="604">
        <f>IFERROR(INDEX(V!$N:$N,MATCH(AI19,V!$I:$I,0)),"")</f>
        <v>60.5</v>
      </c>
      <c r="AK19" s="605" t="str">
        <f t="shared" si="6"/>
        <v>Urmas Randlaine</v>
      </c>
      <c r="AL19" s="604">
        <f>IFERROR(INDEX(V!$N:$N,MATCH(AK19,V!$I:$I,0)),"")</f>
        <v>53.5</v>
      </c>
      <c r="AM19" s="603" t="str">
        <f t="shared" si="7"/>
        <v/>
      </c>
      <c r="AN19" s="604" t="str">
        <f>IFERROR(INDEX(V!$N:$N,MATCH(AM19,V!$I:$I,0)),"")</f>
        <v/>
      </c>
      <c r="AO19" s="603" t="str">
        <f t="shared" si="8"/>
        <v/>
      </c>
      <c r="AP19" s="604" t="str">
        <f>IFERROR(INDEX(V!$N:$N,MATCH(AO19,V!$I:$I,0)),"")</f>
        <v/>
      </c>
    </row>
    <row r="20" spans="1:42" ht="12.75" customHeight="1" x14ac:dyDescent="0.2">
      <c r="A20" s="1319">
        <v>13</v>
      </c>
      <c r="B20" s="1353" t="s">
        <v>32</v>
      </c>
      <c r="C20" s="1323">
        <v>13</v>
      </c>
      <c r="D20" s="1324" t="s">
        <v>211</v>
      </c>
      <c r="E20" s="1325">
        <v>8</v>
      </c>
      <c r="F20" s="1315" t="str">
        <f>B14</f>
        <v>Oksana Sažina, Oleg Rõndenkov</v>
      </c>
      <c r="G20" s="1323">
        <v>13</v>
      </c>
      <c r="H20" s="1324" t="s">
        <v>211</v>
      </c>
      <c r="I20" s="1325">
        <v>12</v>
      </c>
      <c r="J20" s="1315" t="str">
        <f>B21</f>
        <v>Andres Veski, Svetlana Veski</v>
      </c>
      <c r="K20" s="1323">
        <v>4</v>
      </c>
      <c r="L20" s="1324" t="s">
        <v>211</v>
      </c>
      <c r="M20" s="1325">
        <v>13</v>
      </c>
      <c r="N20" s="1315" t="str">
        <f>B10</f>
        <v>Mait Metsla, Matti Vinni</v>
      </c>
      <c r="O20" s="1323">
        <v>2</v>
      </c>
      <c r="P20" s="1324" t="s">
        <v>211</v>
      </c>
      <c r="Q20" s="1325">
        <v>13</v>
      </c>
      <c r="R20" s="1315" t="str">
        <f>B11</f>
        <v>Tõnu Kapper, Vladimir Ogneštšikov</v>
      </c>
      <c r="S20" s="1323"/>
      <c r="T20" s="1324" t="s">
        <v>211</v>
      </c>
      <c r="U20" s="1325"/>
      <c r="V20" s="1315" t="s">
        <v>725</v>
      </c>
      <c r="W20" s="1323"/>
      <c r="X20" s="1324" t="s">
        <v>211</v>
      </c>
      <c r="Y20" s="1325"/>
      <c r="Z20" s="1315"/>
      <c r="AA20" s="1330">
        <f t="shared" si="0"/>
        <v>2</v>
      </c>
      <c r="AB20" s="1331"/>
      <c r="AC20" s="1323">
        <f t="shared" si="1"/>
        <v>32</v>
      </c>
      <c r="AD20" s="1324" t="s">
        <v>211</v>
      </c>
      <c r="AE20" s="1326">
        <f t="shared" si="2"/>
        <v>46</v>
      </c>
      <c r="AF20" s="1327">
        <f t="shared" si="3"/>
        <v>-14</v>
      </c>
      <c r="AG20" s="663"/>
      <c r="AH20" s="499">
        <f t="shared" si="10"/>
        <v>48</v>
      </c>
      <c r="AI20" s="605" t="str">
        <f t="shared" si="5"/>
        <v>Janek Tarto</v>
      </c>
      <c r="AJ20" s="604">
        <f>IFERROR(INDEX(V!$N:$N,MATCH(AI20,V!$I:$I,0)),"")</f>
        <v>34.5</v>
      </c>
      <c r="AK20" s="605" t="str">
        <f t="shared" si="6"/>
        <v>Romek Tarto</v>
      </c>
      <c r="AL20" s="604">
        <f>IFERROR(INDEX(V!$N:$N,MATCH(AK20,V!$I:$I,0)),"")</f>
        <v>13.5</v>
      </c>
      <c r="AM20" s="603" t="str">
        <f t="shared" si="7"/>
        <v/>
      </c>
      <c r="AN20" s="604" t="str">
        <f>IFERROR(INDEX(V!$N:$N,MATCH(AM20,V!$I:$I,0)),"")</f>
        <v/>
      </c>
      <c r="AO20" s="603" t="str">
        <f t="shared" si="8"/>
        <v/>
      </c>
      <c r="AP20" s="604" t="str">
        <f>IFERROR(INDEX(V!$N:$N,MATCH(AO20,V!$I:$I,0)),"")</f>
        <v/>
      </c>
    </row>
    <row r="21" spans="1:42" ht="12.75" customHeight="1" x14ac:dyDescent="0.2">
      <c r="A21" s="1319">
        <v>14</v>
      </c>
      <c r="B21" s="1353" t="s">
        <v>491</v>
      </c>
      <c r="C21" s="1323">
        <v>13</v>
      </c>
      <c r="D21" s="1324" t="s">
        <v>211</v>
      </c>
      <c r="E21" s="1325">
        <v>11</v>
      </c>
      <c r="F21" s="1315" t="str">
        <f>B22</f>
        <v>Henri Mitt, Urmas Jõeäär</v>
      </c>
      <c r="G21" s="1323">
        <v>12</v>
      </c>
      <c r="H21" s="1324" t="s">
        <v>211</v>
      </c>
      <c r="I21" s="1325">
        <v>13</v>
      </c>
      <c r="J21" s="1315" t="str">
        <f>B20</f>
        <v>Janek Tarto, Romek Tarto</v>
      </c>
      <c r="K21" s="1323">
        <v>1</v>
      </c>
      <c r="L21" s="1324" t="s">
        <v>211</v>
      </c>
      <c r="M21" s="1325">
        <v>13</v>
      </c>
      <c r="N21" s="1315" t="str">
        <f>B18</f>
        <v>Enn Tokman, Tarmo Bombe</v>
      </c>
      <c r="O21" s="1323">
        <v>10</v>
      </c>
      <c r="P21" s="1324" t="s">
        <v>211</v>
      </c>
      <c r="Q21" s="1325">
        <v>13</v>
      </c>
      <c r="R21" s="1315" t="str">
        <f>B14</f>
        <v>Oksana Sažina, Oleg Rõndenkov</v>
      </c>
      <c r="S21" s="1323">
        <v>10</v>
      </c>
      <c r="T21" s="1324" t="s">
        <v>211</v>
      </c>
      <c r="U21" s="1325">
        <v>13</v>
      </c>
      <c r="V21" s="1315" t="str">
        <f>B19</f>
        <v>Meelis Luud, Urmas Randlaine</v>
      </c>
      <c r="W21" s="1323"/>
      <c r="X21" s="1324" t="s">
        <v>211</v>
      </c>
      <c r="Y21" s="1325"/>
      <c r="Z21" s="1315"/>
      <c r="AA21" s="1335">
        <f t="shared" si="0"/>
        <v>1</v>
      </c>
      <c r="AB21" s="1331"/>
      <c r="AC21" s="1323">
        <f t="shared" si="1"/>
        <v>46</v>
      </c>
      <c r="AD21" s="1324" t="s">
        <v>211</v>
      </c>
      <c r="AE21" s="1326">
        <f t="shared" si="2"/>
        <v>63</v>
      </c>
      <c r="AF21" s="1327">
        <f t="shared" si="3"/>
        <v>-17</v>
      </c>
      <c r="AG21" s="663"/>
      <c r="AH21" s="499">
        <f t="shared" si="10"/>
        <v>57</v>
      </c>
      <c r="AI21" s="605" t="str">
        <f t="shared" si="5"/>
        <v>Andres Veski</v>
      </c>
      <c r="AJ21" s="604">
        <f>IFERROR(INDEX(V!$N:$N,MATCH(AI21,V!$I:$I,0)),"")</f>
        <v>29</v>
      </c>
      <c r="AK21" s="605" t="str">
        <f t="shared" si="6"/>
        <v>Svetlana Veski</v>
      </c>
      <c r="AL21" s="604">
        <f>IFERROR(INDEX(V!$N:$N,MATCH(AK21,V!$I:$I,0)),"")</f>
        <v>28</v>
      </c>
      <c r="AM21" s="603" t="str">
        <f t="shared" si="7"/>
        <v/>
      </c>
      <c r="AN21" s="604" t="str">
        <f>IFERROR(INDEX(V!$N:$N,MATCH(AM21,V!$I:$I,0)),"")</f>
        <v/>
      </c>
      <c r="AO21" s="603" t="str">
        <f t="shared" si="8"/>
        <v/>
      </c>
      <c r="AP21" s="604" t="str">
        <f>IFERROR(INDEX(V!$N:$N,MATCH(AO21,V!$I:$I,0)),"")</f>
        <v/>
      </c>
    </row>
    <row r="22" spans="1:42" ht="12.75" customHeight="1" x14ac:dyDescent="0.2">
      <c r="A22" s="1319">
        <v>15</v>
      </c>
      <c r="B22" s="1353" t="s">
        <v>444</v>
      </c>
      <c r="C22" s="1323">
        <v>11</v>
      </c>
      <c r="D22" s="1324" t="s">
        <v>211</v>
      </c>
      <c r="E22" s="1325">
        <v>13</v>
      </c>
      <c r="F22" s="1315" t="str">
        <f>B21</f>
        <v>Andres Veski, Svetlana Veski</v>
      </c>
      <c r="G22" s="1323">
        <v>4</v>
      </c>
      <c r="H22" s="1324" t="s">
        <v>211</v>
      </c>
      <c r="I22" s="1325">
        <v>13</v>
      </c>
      <c r="J22" s="1315" t="str">
        <f>B11</f>
        <v>Tõnu Kapper, Vladimir Ogneštšikov</v>
      </c>
      <c r="K22" s="1323">
        <v>9</v>
      </c>
      <c r="L22" s="1324" t="s">
        <v>211</v>
      </c>
      <c r="M22" s="1325">
        <v>13</v>
      </c>
      <c r="N22" s="1315" t="str">
        <f>B16</f>
        <v>Einar Juhkam, Kenneth Muusikus</v>
      </c>
      <c r="O22" s="1323">
        <v>31</v>
      </c>
      <c r="P22" s="1324" t="s">
        <v>211</v>
      </c>
      <c r="Q22" s="1325">
        <v>7</v>
      </c>
      <c r="R22" s="1315" t="s">
        <v>725</v>
      </c>
      <c r="S22" s="1323">
        <v>12</v>
      </c>
      <c r="T22" s="1324" t="s">
        <v>211</v>
      </c>
      <c r="U22" s="1325">
        <v>13</v>
      </c>
      <c r="V22" s="1315" t="str">
        <f>B17</f>
        <v>Elmo Lageda, Tõnu Piik</v>
      </c>
      <c r="W22" s="1323"/>
      <c r="X22" s="1324" t="s">
        <v>211</v>
      </c>
      <c r="Y22" s="1325"/>
      <c r="Z22" s="1315"/>
      <c r="AA22" s="1335">
        <f t="shared" si="0"/>
        <v>1</v>
      </c>
      <c r="AB22" s="1331"/>
      <c r="AC22" s="1323">
        <f t="shared" si="1"/>
        <v>67</v>
      </c>
      <c r="AD22" s="1324" t="s">
        <v>211</v>
      </c>
      <c r="AE22" s="1326">
        <f t="shared" si="2"/>
        <v>59</v>
      </c>
      <c r="AF22" s="1327">
        <f t="shared" si="3"/>
        <v>8</v>
      </c>
      <c r="AG22" s="663"/>
      <c r="AH22" s="499">
        <f t="shared" si="10"/>
        <v>114</v>
      </c>
      <c r="AI22" s="605" t="str">
        <f t="shared" si="5"/>
        <v>Henri Mitt</v>
      </c>
      <c r="AJ22" s="604">
        <f>IFERROR(INDEX(V!$N:$N,MATCH(AI22,V!$I:$I,0)),"")</f>
        <v>46.5</v>
      </c>
      <c r="AK22" s="605" t="str">
        <f t="shared" si="6"/>
        <v>Urmas Jõeäär</v>
      </c>
      <c r="AL22" s="604">
        <f>IFERROR(INDEX(V!$N:$N,MATCH(AK22,V!$I:$I,0)),"")</f>
        <v>67.5</v>
      </c>
      <c r="AM22" s="603" t="str">
        <f t="shared" si="7"/>
        <v/>
      </c>
      <c r="AN22" s="604" t="str">
        <f>IFERROR(INDEX(V!$N:$N,MATCH(AM22,V!$I:$I,0)),"")</f>
        <v/>
      </c>
      <c r="AO22" s="603" t="str">
        <f t="shared" si="8"/>
        <v/>
      </c>
      <c r="AP22" s="604" t="str">
        <f>IFERROR(INDEX(V!$N:$N,MATCH(AO22,V!$I:$I,0)),"")</f>
        <v/>
      </c>
    </row>
    <row r="23" spans="1:42" ht="12.75" hidden="1" customHeight="1" x14ac:dyDescent="0.2">
      <c r="A23" s="42"/>
      <c r="B23" s="42"/>
      <c r="C23" s="42"/>
      <c r="D23" s="42"/>
      <c r="E23" s="42"/>
      <c r="F23" s="42"/>
      <c r="G23" s="42"/>
      <c r="H23" s="42"/>
      <c r="I23" s="42"/>
      <c r="J23" s="42"/>
      <c r="K23" s="42"/>
      <c r="O23" s="42"/>
      <c r="P23" s="42"/>
      <c r="Q23" s="42"/>
      <c r="R23" s="42"/>
      <c r="S23" s="42"/>
      <c r="X23" s="42"/>
      <c r="Y23" s="42"/>
      <c r="Z23" s="42"/>
      <c r="AA23" s="42"/>
      <c r="AB23" s="42"/>
      <c r="AC23" s="42"/>
      <c r="AD23" s="42"/>
      <c r="AE23" s="42"/>
      <c r="AF23" s="42"/>
      <c r="AG23" s="42"/>
      <c r="AH23" s="42"/>
      <c r="AI23" s="42"/>
      <c r="AJ23" s="42"/>
      <c r="AK23" s="42"/>
      <c r="AL23" s="42"/>
      <c r="AM23" s="42"/>
      <c r="AN23" s="42"/>
      <c r="AO23" s="42"/>
      <c r="AP23" s="42"/>
    </row>
    <row r="24" spans="1:42" ht="12.75" hidden="1" customHeight="1" x14ac:dyDescent="0.2">
      <c r="A24" s="42"/>
      <c r="B24" s="42"/>
      <c r="C24" s="42"/>
      <c r="D24" s="42"/>
      <c r="E24" s="42"/>
      <c r="F24" s="42"/>
      <c r="G24" s="42"/>
      <c r="H24" s="42"/>
      <c r="I24" s="42"/>
      <c r="J24" s="42"/>
      <c r="K24" s="42"/>
      <c r="O24" s="42"/>
      <c r="P24" s="42"/>
      <c r="Q24" s="42"/>
      <c r="R24" s="42"/>
      <c r="S24" s="42"/>
      <c r="X24" s="42"/>
      <c r="Y24" s="42"/>
      <c r="Z24" s="42"/>
      <c r="AA24" s="42"/>
      <c r="AB24" s="42"/>
      <c r="AC24" s="42"/>
      <c r="AD24" s="42"/>
      <c r="AE24" s="42"/>
      <c r="AF24" s="42"/>
      <c r="AG24" s="42"/>
      <c r="AH24" s="42"/>
      <c r="AI24" s="42"/>
      <c r="AJ24" s="42"/>
      <c r="AK24" s="42"/>
      <c r="AL24" s="42"/>
      <c r="AM24" s="42"/>
      <c r="AN24" s="42"/>
      <c r="AO24" s="42"/>
      <c r="AP24" s="42"/>
    </row>
    <row r="25" spans="1:42" ht="12.75" hidden="1" customHeight="1" x14ac:dyDescent="0.2">
      <c r="A25" s="42"/>
      <c r="B25" s="42"/>
      <c r="C25" s="42"/>
      <c r="D25" s="42"/>
      <c r="E25" s="42"/>
      <c r="F25" s="42"/>
      <c r="G25" s="42"/>
      <c r="H25" s="42"/>
      <c r="I25" s="42"/>
      <c r="J25" s="42"/>
      <c r="K25" s="42"/>
      <c r="O25" s="42"/>
      <c r="P25" s="42"/>
      <c r="Q25" s="42"/>
      <c r="R25" s="42"/>
      <c r="S25" s="42"/>
      <c r="X25" s="42"/>
      <c r="Y25" s="42"/>
      <c r="Z25" s="42"/>
      <c r="AA25" s="42"/>
      <c r="AB25" s="42"/>
      <c r="AC25" s="42"/>
      <c r="AD25" s="42"/>
      <c r="AE25" s="42"/>
      <c r="AF25" s="42"/>
      <c r="AG25" s="42"/>
      <c r="AH25" s="42"/>
      <c r="AI25" s="42"/>
      <c r="AJ25" s="42"/>
      <c r="AK25" s="42"/>
      <c r="AL25" s="42"/>
      <c r="AM25" s="42"/>
      <c r="AN25" s="42"/>
      <c r="AO25" s="42"/>
      <c r="AP25" s="42"/>
    </row>
    <row r="26" spans="1:42" ht="12.75" hidden="1" customHeight="1" x14ac:dyDescent="0.2">
      <c r="A26" s="42"/>
      <c r="B26" s="42"/>
      <c r="C26" s="42"/>
      <c r="D26" s="42"/>
      <c r="E26" s="42"/>
      <c r="F26" s="42"/>
      <c r="G26" s="42"/>
      <c r="H26" s="42"/>
      <c r="I26" s="42"/>
      <c r="J26" s="42"/>
      <c r="K26" s="42"/>
      <c r="O26" s="42"/>
      <c r="P26" s="42"/>
      <c r="Q26" s="42"/>
      <c r="R26" s="42"/>
      <c r="S26" s="42"/>
      <c r="X26" s="42"/>
      <c r="Y26" s="42"/>
      <c r="Z26" s="42"/>
      <c r="AA26" s="42"/>
      <c r="AB26" s="42"/>
      <c r="AC26" s="42"/>
      <c r="AD26" s="42"/>
      <c r="AE26" s="42"/>
      <c r="AF26" s="42"/>
      <c r="AG26" s="42"/>
      <c r="AH26" s="42"/>
      <c r="AI26" s="42"/>
      <c r="AJ26" s="42"/>
      <c r="AK26" s="42"/>
      <c r="AL26" s="42"/>
      <c r="AM26" s="42"/>
      <c r="AN26" s="42"/>
      <c r="AO26" s="42"/>
      <c r="AP26" s="42"/>
    </row>
    <row r="27" spans="1:42" ht="12.75" hidden="1" customHeight="1" x14ac:dyDescent="0.2">
      <c r="A27" s="42"/>
      <c r="B27" s="42"/>
      <c r="C27" s="42"/>
      <c r="D27" s="42"/>
      <c r="E27" s="42"/>
      <c r="F27" s="42"/>
      <c r="G27" s="42"/>
      <c r="H27" s="42"/>
      <c r="I27" s="42"/>
      <c r="J27" s="42"/>
      <c r="K27" s="42"/>
      <c r="O27" s="42"/>
      <c r="P27" s="42"/>
      <c r="Q27" s="42"/>
      <c r="R27" s="42"/>
      <c r="S27" s="42"/>
      <c r="X27" s="42"/>
      <c r="Y27" s="42"/>
      <c r="Z27" s="42"/>
      <c r="AA27" s="42"/>
      <c r="AB27" s="42"/>
      <c r="AC27" s="42"/>
      <c r="AD27" s="42"/>
      <c r="AE27" s="42"/>
      <c r="AF27" s="42"/>
      <c r="AG27" s="42"/>
      <c r="AH27" s="42"/>
      <c r="AI27" s="42"/>
      <c r="AJ27" s="42"/>
      <c r="AK27" s="42"/>
      <c r="AL27" s="42"/>
      <c r="AM27" s="42"/>
      <c r="AN27" s="42"/>
      <c r="AO27" s="42"/>
      <c r="AP27" s="42"/>
    </row>
    <row r="28" spans="1:42" ht="12.75" hidden="1" customHeight="1" x14ac:dyDescent="0.2">
      <c r="A28" s="42"/>
      <c r="B28" s="42"/>
      <c r="C28" s="42"/>
      <c r="D28" s="42"/>
      <c r="E28" s="42"/>
      <c r="F28" s="42"/>
      <c r="G28" s="42"/>
      <c r="H28" s="42"/>
      <c r="I28" s="42"/>
      <c r="J28" s="42"/>
      <c r="K28" s="42"/>
      <c r="O28" s="42"/>
      <c r="P28" s="42"/>
      <c r="Q28" s="42"/>
      <c r="R28" s="42"/>
      <c r="S28" s="42"/>
      <c r="X28" s="42"/>
      <c r="Y28" s="42"/>
      <c r="Z28" s="42"/>
      <c r="AA28" s="42"/>
      <c r="AB28" s="42"/>
      <c r="AC28" s="42"/>
      <c r="AD28" s="42"/>
      <c r="AE28" s="42"/>
      <c r="AF28" s="42"/>
      <c r="AG28" s="42"/>
      <c r="AH28" s="42"/>
      <c r="AI28" s="42"/>
      <c r="AJ28" s="42"/>
      <c r="AK28" s="42"/>
      <c r="AL28" s="42"/>
      <c r="AM28" s="42"/>
      <c r="AN28" s="42"/>
      <c r="AO28" s="42"/>
      <c r="AP28" s="42"/>
    </row>
    <row r="29" spans="1:42" ht="12.75" hidden="1" customHeight="1" x14ac:dyDescent="0.2">
      <c r="A29" s="42"/>
      <c r="B29" s="42"/>
      <c r="C29" s="42"/>
      <c r="D29" s="42"/>
      <c r="E29" s="42"/>
      <c r="F29" s="42"/>
      <c r="G29" s="42"/>
      <c r="H29" s="42"/>
      <c r="I29" s="42"/>
      <c r="J29" s="42"/>
      <c r="K29" s="42"/>
      <c r="O29" s="42"/>
      <c r="P29" s="42"/>
      <c r="Q29" s="42"/>
      <c r="R29" s="42"/>
      <c r="S29" s="42"/>
      <c r="X29" s="42"/>
      <c r="Y29" s="42"/>
      <c r="Z29" s="42"/>
      <c r="AA29" s="42"/>
      <c r="AB29" s="42"/>
      <c r="AC29" s="42"/>
      <c r="AD29" s="42"/>
      <c r="AE29" s="42"/>
      <c r="AF29" s="42"/>
      <c r="AG29" s="42"/>
      <c r="AH29" s="42"/>
      <c r="AI29" s="42"/>
      <c r="AJ29" s="42"/>
      <c r="AK29" s="42"/>
      <c r="AL29" s="42"/>
      <c r="AM29" s="42"/>
      <c r="AN29" s="42"/>
      <c r="AO29" s="42"/>
      <c r="AP29" s="42"/>
    </row>
    <row r="30" spans="1:42" ht="12.75" hidden="1" customHeight="1" x14ac:dyDescent="0.2">
      <c r="A30" s="42"/>
      <c r="B30" s="42"/>
      <c r="C30" s="42"/>
      <c r="D30" s="42"/>
      <c r="E30" s="42"/>
      <c r="F30" s="42"/>
      <c r="G30" s="42"/>
      <c r="H30" s="42"/>
      <c r="I30" s="42"/>
      <c r="J30" s="42"/>
      <c r="K30" s="42"/>
      <c r="O30" s="42"/>
      <c r="P30" s="42"/>
      <c r="Q30" s="42"/>
      <c r="R30" s="42"/>
      <c r="S30" s="42"/>
      <c r="X30" s="42"/>
      <c r="Y30" s="42"/>
      <c r="Z30" s="42"/>
      <c r="AA30" s="42"/>
      <c r="AB30" s="42"/>
      <c r="AC30" s="42"/>
      <c r="AD30" s="42"/>
      <c r="AE30" s="42"/>
      <c r="AF30" s="42"/>
      <c r="AG30" s="42"/>
      <c r="AH30" s="42"/>
      <c r="AI30" s="42"/>
      <c r="AJ30" s="42"/>
      <c r="AK30" s="42"/>
      <c r="AL30" s="42"/>
      <c r="AM30" s="42"/>
      <c r="AN30" s="42"/>
      <c r="AO30" s="42"/>
      <c r="AP30" s="42"/>
    </row>
    <row r="31" spans="1:42" ht="12.75" hidden="1" customHeight="1" x14ac:dyDescent="0.2">
      <c r="A31" s="42"/>
      <c r="B31" s="42"/>
      <c r="C31" s="42"/>
      <c r="D31" s="42"/>
      <c r="E31" s="42"/>
      <c r="F31" s="42"/>
      <c r="G31" s="42"/>
      <c r="H31" s="42"/>
      <c r="I31" s="42"/>
      <c r="J31" s="42"/>
      <c r="K31" s="42"/>
      <c r="O31" s="42"/>
      <c r="P31" s="42"/>
      <c r="Q31" s="42"/>
      <c r="R31" s="42"/>
      <c r="S31" s="42"/>
      <c r="X31" s="42"/>
      <c r="Y31" s="42"/>
      <c r="Z31" s="42"/>
      <c r="AA31" s="42"/>
      <c r="AB31" s="42"/>
      <c r="AC31" s="42"/>
      <c r="AD31" s="42"/>
      <c r="AE31" s="42"/>
      <c r="AF31" s="42"/>
      <c r="AG31" s="42"/>
      <c r="AH31" s="42"/>
      <c r="AI31" s="42"/>
      <c r="AJ31" s="42"/>
      <c r="AK31" s="42"/>
      <c r="AL31" s="42"/>
      <c r="AM31" s="42"/>
      <c r="AN31" s="42"/>
      <c r="AO31" s="42"/>
      <c r="AP31" s="42"/>
    </row>
    <row r="32" spans="1:42" ht="12.75" hidden="1" customHeight="1" x14ac:dyDescent="0.2">
      <c r="A32" s="42"/>
      <c r="B32" s="42"/>
      <c r="C32" s="42"/>
      <c r="D32" s="42"/>
      <c r="E32" s="42"/>
      <c r="F32" s="42"/>
      <c r="G32" s="42"/>
      <c r="H32" s="42"/>
      <c r="I32" s="42"/>
      <c r="J32" s="42"/>
      <c r="K32" s="42"/>
      <c r="O32" s="42"/>
      <c r="P32" s="42"/>
      <c r="Q32" s="42"/>
      <c r="R32" s="42"/>
      <c r="S32" s="42"/>
      <c r="X32" s="42"/>
      <c r="Y32" s="42"/>
      <c r="Z32" s="42"/>
      <c r="AA32" s="42"/>
      <c r="AB32" s="42"/>
      <c r="AC32" s="42"/>
      <c r="AD32" s="42"/>
      <c r="AE32" s="42"/>
      <c r="AF32" s="42"/>
      <c r="AG32" s="42"/>
      <c r="AH32" s="42"/>
      <c r="AI32" s="42"/>
      <c r="AJ32" s="42"/>
      <c r="AK32" s="42"/>
      <c r="AL32" s="42"/>
      <c r="AM32" s="42"/>
      <c r="AN32" s="42"/>
      <c r="AO32" s="42"/>
      <c r="AP32" s="42"/>
    </row>
    <row r="33" spans="1:42" ht="12.75" hidden="1" customHeight="1" x14ac:dyDescent="0.2">
      <c r="A33" s="42"/>
      <c r="B33" s="42"/>
      <c r="C33" s="42"/>
      <c r="D33" s="42"/>
      <c r="E33" s="42"/>
      <c r="F33" s="42"/>
      <c r="G33" s="42"/>
      <c r="H33" s="42"/>
      <c r="I33" s="42"/>
      <c r="J33" s="42"/>
      <c r="K33" s="42"/>
      <c r="O33" s="42"/>
      <c r="P33" s="42"/>
      <c r="Q33" s="42"/>
      <c r="R33" s="42"/>
      <c r="S33" s="42"/>
      <c r="X33" s="42"/>
      <c r="Y33" s="42"/>
      <c r="Z33" s="42"/>
      <c r="AA33" s="42"/>
      <c r="AB33" s="42"/>
      <c r="AC33" s="42"/>
      <c r="AD33" s="42"/>
      <c r="AE33" s="42"/>
      <c r="AF33" s="42"/>
      <c r="AG33" s="42"/>
      <c r="AH33" s="42"/>
      <c r="AI33" s="42"/>
      <c r="AJ33" s="42"/>
      <c r="AK33" s="42"/>
      <c r="AL33" s="42"/>
      <c r="AM33" s="42"/>
      <c r="AN33" s="42"/>
      <c r="AO33" s="42"/>
      <c r="AP33" s="42"/>
    </row>
    <row r="34" spans="1:42" ht="12.75" hidden="1" customHeight="1" x14ac:dyDescent="0.2">
      <c r="A34" s="42"/>
      <c r="B34" s="42"/>
      <c r="C34" s="42"/>
      <c r="D34" s="42"/>
      <c r="E34" s="42"/>
      <c r="F34" s="42"/>
      <c r="G34" s="42"/>
      <c r="H34" s="42"/>
      <c r="I34" s="42"/>
      <c r="J34" s="42"/>
      <c r="K34" s="42"/>
      <c r="O34" s="42"/>
      <c r="P34" s="42"/>
      <c r="Q34" s="42"/>
      <c r="R34" s="42"/>
      <c r="S34" s="42"/>
      <c r="X34" s="42"/>
      <c r="Y34" s="42"/>
      <c r="Z34" s="42"/>
      <c r="AA34" s="42"/>
      <c r="AB34" s="42"/>
      <c r="AC34" s="42"/>
      <c r="AD34" s="42"/>
      <c r="AE34" s="42"/>
      <c r="AF34" s="42"/>
      <c r="AG34" s="42"/>
      <c r="AH34" s="42"/>
      <c r="AI34" s="42"/>
      <c r="AJ34" s="42"/>
      <c r="AK34" s="42"/>
      <c r="AL34" s="42"/>
      <c r="AM34" s="42"/>
      <c r="AN34" s="42"/>
      <c r="AO34" s="42"/>
      <c r="AP34" s="42"/>
    </row>
    <row r="35" spans="1:42" ht="12.75" hidden="1" customHeight="1" x14ac:dyDescent="0.2">
      <c r="A35" s="42"/>
      <c r="B35" s="42"/>
      <c r="C35" s="42"/>
      <c r="D35" s="42"/>
      <c r="E35" s="42"/>
      <c r="F35" s="42"/>
      <c r="G35" s="42"/>
      <c r="H35" s="42"/>
      <c r="I35" s="42"/>
      <c r="J35" s="42"/>
      <c r="K35" s="42"/>
      <c r="O35" s="42"/>
      <c r="P35" s="42"/>
      <c r="Q35" s="42"/>
      <c r="R35" s="42"/>
      <c r="S35" s="42"/>
      <c r="X35" s="42"/>
      <c r="Y35" s="42"/>
      <c r="Z35" s="42"/>
      <c r="AA35" s="42"/>
      <c r="AB35" s="42"/>
      <c r="AC35" s="42"/>
      <c r="AD35" s="42"/>
      <c r="AE35" s="42"/>
      <c r="AF35" s="42"/>
      <c r="AG35" s="42"/>
      <c r="AH35" s="42"/>
      <c r="AI35" s="42"/>
      <c r="AJ35" s="42"/>
      <c r="AK35" s="42"/>
      <c r="AL35" s="42"/>
      <c r="AM35" s="42"/>
      <c r="AN35" s="42"/>
      <c r="AO35" s="42"/>
      <c r="AP35" s="42"/>
    </row>
    <row r="36" spans="1:42" ht="12.75" hidden="1" customHeight="1" x14ac:dyDescent="0.2">
      <c r="A36" s="42"/>
      <c r="B36" s="42"/>
      <c r="C36" s="42"/>
      <c r="D36" s="42"/>
      <c r="E36" s="42"/>
      <c r="F36" s="42"/>
      <c r="G36" s="42"/>
      <c r="H36" s="42"/>
      <c r="I36" s="42"/>
      <c r="J36" s="42"/>
      <c r="K36" s="42"/>
      <c r="O36" s="42"/>
      <c r="P36" s="42"/>
      <c r="Q36" s="42"/>
      <c r="R36" s="42"/>
      <c r="S36" s="42"/>
      <c r="X36" s="42"/>
      <c r="Y36" s="42"/>
      <c r="Z36" s="42"/>
      <c r="AA36" s="42"/>
      <c r="AB36" s="42"/>
      <c r="AC36" s="42"/>
      <c r="AD36" s="42"/>
      <c r="AE36" s="42"/>
      <c r="AF36" s="42"/>
      <c r="AG36" s="42"/>
      <c r="AH36" s="42"/>
      <c r="AI36" s="42"/>
      <c r="AJ36" s="42"/>
      <c r="AK36" s="42"/>
      <c r="AL36" s="42"/>
      <c r="AM36" s="42"/>
      <c r="AN36" s="42"/>
      <c r="AO36" s="42"/>
      <c r="AP36" s="42"/>
    </row>
    <row r="37" spans="1:42" ht="12.75" hidden="1" customHeight="1" x14ac:dyDescent="0.2">
      <c r="A37" s="42"/>
      <c r="B37" s="42"/>
      <c r="C37" s="42"/>
      <c r="D37" s="42"/>
      <c r="E37" s="42"/>
      <c r="F37" s="42"/>
      <c r="G37" s="42"/>
      <c r="H37" s="42"/>
      <c r="I37" s="42"/>
      <c r="J37" s="42"/>
      <c r="K37" s="42"/>
      <c r="O37" s="42"/>
      <c r="P37" s="42"/>
      <c r="Q37" s="42"/>
      <c r="R37" s="42"/>
      <c r="S37" s="42"/>
      <c r="X37" s="42"/>
      <c r="Y37" s="42"/>
      <c r="Z37" s="42"/>
      <c r="AA37" s="42"/>
      <c r="AB37" s="42"/>
      <c r="AC37" s="42"/>
      <c r="AD37" s="42"/>
      <c r="AE37" s="42"/>
      <c r="AF37" s="42"/>
      <c r="AG37" s="42"/>
      <c r="AH37" s="42"/>
      <c r="AI37" s="42"/>
      <c r="AJ37" s="42"/>
      <c r="AK37" s="42"/>
      <c r="AL37" s="42"/>
      <c r="AM37" s="42"/>
      <c r="AN37" s="42"/>
      <c r="AO37" s="42"/>
      <c r="AP37" s="42"/>
    </row>
    <row r="38" spans="1:42" ht="12.75" hidden="1" customHeight="1" x14ac:dyDescent="0.2">
      <c r="A38" s="42"/>
      <c r="B38" s="42"/>
      <c r="C38" s="42"/>
      <c r="D38" s="42"/>
      <c r="E38" s="42"/>
      <c r="F38" s="42"/>
      <c r="G38" s="42"/>
      <c r="H38" s="42"/>
      <c r="I38" s="42"/>
      <c r="J38" s="42"/>
      <c r="K38" s="42"/>
      <c r="O38" s="42"/>
      <c r="P38" s="42"/>
      <c r="Q38" s="42"/>
      <c r="R38" s="42"/>
      <c r="S38" s="42"/>
      <c r="X38" s="42"/>
      <c r="Y38" s="42"/>
      <c r="Z38" s="42"/>
      <c r="AA38" s="42"/>
      <c r="AB38" s="42"/>
      <c r="AC38" s="42"/>
      <c r="AD38" s="42"/>
      <c r="AE38" s="42"/>
      <c r="AF38" s="42"/>
      <c r="AG38" s="42"/>
      <c r="AH38" s="42"/>
      <c r="AI38" s="42"/>
      <c r="AJ38" s="42"/>
      <c r="AK38" s="42"/>
      <c r="AL38" s="42"/>
      <c r="AM38" s="42"/>
      <c r="AN38" s="42"/>
      <c r="AO38" s="42"/>
      <c r="AP38" s="42"/>
    </row>
    <row r="39" spans="1:42" ht="12.75" hidden="1" customHeight="1" x14ac:dyDescent="0.2">
      <c r="A39" s="42"/>
      <c r="B39" s="42"/>
      <c r="C39" s="42"/>
      <c r="D39" s="42"/>
      <c r="E39" s="42"/>
      <c r="F39" s="42"/>
      <c r="G39" s="42"/>
      <c r="H39" s="42"/>
      <c r="I39" s="42"/>
      <c r="J39" s="42"/>
      <c r="K39" s="42"/>
      <c r="O39" s="42"/>
      <c r="P39" s="42"/>
      <c r="Q39" s="42"/>
      <c r="R39" s="42"/>
      <c r="S39" s="42"/>
      <c r="X39" s="42"/>
      <c r="Y39" s="42"/>
      <c r="Z39" s="42"/>
      <c r="AA39" s="42"/>
      <c r="AB39" s="42"/>
      <c r="AC39" s="42"/>
      <c r="AD39" s="42"/>
      <c r="AE39" s="42"/>
      <c r="AF39" s="42"/>
      <c r="AG39" s="42"/>
      <c r="AH39" s="42"/>
      <c r="AI39" s="42"/>
      <c r="AJ39" s="42"/>
      <c r="AK39" s="42"/>
      <c r="AL39" s="42"/>
      <c r="AM39" s="42"/>
      <c r="AN39" s="42"/>
      <c r="AO39" s="42"/>
      <c r="AP39" s="42"/>
    </row>
    <row r="40" spans="1:42" ht="12.75" hidden="1" customHeight="1" x14ac:dyDescent="0.2">
      <c r="A40" s="42"/>
      <c r="B40" s="42"/>
      <c r="C40" s="42"/>
      <c r="D40" s="42"/>
      <c r="E40" s="42"/>
      <c r="F40" s="42"/>
      <c r="G40" s="42"/>
      <c r="H40" s="42"/>
      <c r="I40" s="42"/>
      <c r="J40" s="42"/>
      <c r="K40" s="42"/>
      <c r="O40" s="42"/>
      <c r="P40" s="42"/>
      <c r="Q40" s="42"/>
      <c r="R40" s="42"/>
      <c r="S40" s="42"/>
      <c r="X40" s="42"/>
      <c r="Y40" s="42"/>
      <c r="Z40" s="42"/>
      <c r="AA40" s="42"/>
      <c r="AB40" s="42"/>
      <c r="AC40" s="42"/>
      <c r="AD40" s="42"/>
      <c r="AE40" s="42"/>
      <c r="AF40" s="42"/>
      <c r="AG40" s="42"/>
      <c r="AH40" s="42"/>
      <c r="AI40" s="42"/>
      <c r="AJ40" s="42"/>
      <c r="AK40" s="42"/>
      <c r="AL40" s="42"/>
      <c r="AM40" s="42"/>
      <c r="AN40" s="42"/>
      <c r="AO40" s="42"/>
      <c r="AP40" s="42"/>
    </row>
    <row r="41" spans="1:42" ht="12.75" hidden="1" customHeight="1" x14ac:dyDescent="0.2">
      <c r="A41" s="42"/>
      <c r="B41" s="42"/>
      <c r="C41" s="42"/>
      <c r="D41" s="42"/>
      <c r="E41" s="42"/>
      <c r="F41" s="42"/>
      <c r="G41" s="42"/>
      <c r="H41" s="42"/>
      <c r="I41" s="42"/>
      <c r="J41" s="42"/>
      <c r="K41" s="42"/>
      <c r="O41" s="42"/>
      <c r="P41" s="42"/>
      <c r="Q41" s="42"/>
      <c r="R41" s="42"/>
      <c r="S41" s="42"/>
      <c r="X41" s="42"/>
      <c r="Y41" s="42"/>
      <c r="Z41" s="42"/>
      <c r="AA41" s="42"/>
      <c r="AB41" s="42"/>
      <c r="AC41" s="42"/>
      <c r="AD41" s="42"/>
      <c r="AE41" s="42"/>
      <c r="AF41" s="42"/>
      <c r="AG41" s="42"/>
      <c r="AH41" s="42"/>
      <c r="AI41" s="42"/>
      <c r="AJ41" s="42"/>
      <c r="AK41" s="42"/>
      <c r="AL41" s="42"/>
      <c r="AM41" s="42"/>
      <c r="AN41" s="42"/>
      <c r="AO41" s="42"/>
      <c r="AP41" s="42"/>
    </row>
    <row r="42" spans="1:42" ht="12.75" hidden="1" customHeight="1" x14ac:dyDescent="0.2">
      <c r="A42" s="42"/>
      <c r="B42" s="42"/>
      <c r="C42" s="42"/>
      <c r="D42" s="42"/>
      <c r="E42" s="42"/>
      <c r="F42" s="42"/>
      <c r="G42" s="42"/>
      <c r="H42" s="42"/>
      <c r="I42" s="42"/>
      <c r="J42" s="42"/>
      <c r="K42" s="42"/>
      <c r="O42" s="42"/>
      <c r="P42" s="42"/>
      <c r="Q42" s="42"/>
      <c r="R42" s="42"/>
      <c r="S42" s="42"/>
      <c r="X42" s="42"/>
      <c r="Y42" s="42"/>
      <c r="Z42" s="42"/>
      <c r="AA42" s="42"/>
      <c r="AB42" s="42"/>
      <c r="AC42" s="42"/>
      <c r="AD42" s="42"/>
      <c r="AE42" s="42"/>
      <c r="AF42" s="42"/>
      <c r="AG42" s="42"/>
      <c r="AH42" s="42"/>
      <c r="AI42" s="42"/>
      <c r="AJ42" s="42"/>
      <c r="AK42" s="42"/>
      <c r="AL42" s="42"/>
      <c r="AM42" s="42"/>
      <c r="AN42" s="42"/>
      <c r="AO42" s="42"/>
      <c r="AP42" s="42"/>
    </row>
    <row r="43" spans="1:42" ht="12.75" hidden="1" customHeight="1" x14ac:dyDescent="0.2">
      <c r="A43" s="42"/>
      <c r="B43" s="42"/>
      <c r="C43" s="42"/>
      <c r="D43" s="42"/>
      <c r="E43" s="42"/>
      <c r="F43" s="42"/>
      <c r="G43" s="42"/>
      <c r="H43" s="42"/>
      <c r="I43" s="42"/>
      <c r="J43" s="42"/>
      <c r="K43" s="42"/>
      <c r="O43" s="42"/>
      <c r="P43" s="42"/>
      <c r="Q43" s="42"/>
      <c r="R43" s="42"/>
      <c r="S43" s="42"/>
      <c r="X43" s="42"/>
      <c r="Y43" s="42"/>
      <c r="Z43" s="42"/>
      <c r="AA43" s="42"/>
      <c r="AB43" s="42"/>
      <c r="AC43" s="42"/>
      <c r="AD43" s="42"/>
      <c r="AE43" s="42"/>
      <c r="AF43" s="42"/>
      <c r="AG43" s="42"/>
      <c r="AH43" s="42"/>
      <c r="AI43" s="42"/>
      <c r="AJ43" s="42"/>
      <c r="AK43" s="42"/>
      <c r="AL43" s="42"/>
      <c r="AM43" s="42"/>
      <c r="AN43" s="42"/>
      <c r="AO43" s="42"/>
      <c r="AP43" s="42"/>
    </row>
    <row r="44" spans="1:42" ht="12.75" hidden="1" customHeight="1" x14ac:dyDescent="0.2">
      <c r="A44" s="42"/>
      <c r="B44" s="42"/>
      <c r="C44" s="42"/>
      <c r="D44" s="42"/>
      <c r="E44" s="42"/>
      <c r="F44" s="42"/>
      <c r="G44" s="42"/>
      <c r="H44" s="42"/>
      <c r="I44" s="42"/>
      <c r="J44" s="42"/>
      <c r="K44" s="42"/>
      <c r="O44" s="42"/>
      <c r="P44" s="42"/>
      <c r="Q44" s="42"/>
      <c r="R44" s="42"/>
      <c r="S44" s="42"/>
      <c r="X44" s="42"/>
      <c r="Y44" s="42"/>
      <c r="Z44" s="42"/>
      <c r="AA44" s="42"/>
      <c r="AB44" s="42"/>
      <c r="AC44" s="42"/>
      <c r="AD44" s="42"/>
      <c r="AE44" s="42"/>
      <c r="AF44" s="42"/>
      <c r="AG44" s="42"/>
      <c r="AH44" s="42"/>
      <c r="AI44" s="42"/>
      <c r="AJ44" s="42"/>
      <c r="AK44" s="42"/>
      <c r="AL44" s="42"/>
      <c r="AM44" s="42"/>
      <c r="AN44" s="42"/>
      <c r="AO44" s="42"/>
      <c r="AP44" s="42"/>
    </row>
    <row r="45" spans="1:42" ht="12.75" hidden="1" customHeight="1" x14ac:dyDescent="0.2">
      <c r="A45" s="42"/>
      <c r="B45" s="42"/>
      <c r="C45" s="42"/>
      <c r="D45" s="42"/>
      <c r="E45" s="42"/>
      <c r="F45" s="42"/>
      <c r="G45" s="42"/>
      <c r="H45" s="42"/>
      <c r="I45" s="42"/>
      <c r="J45" s="42"/>
      <c r="K45" s="42"/>
      <c r="O45" s="42"/>
      <c r="P45" s="42"/>
      <c r="Q45" s="42"/>
      <c r="R45" s="42"/>
      <c r="S45" s="42"/>
      <c r="X45" s="42"/>
      <c r="Y45" s="42"/>
      <c r="Z45" s="42"/>
      <c r="AA45" s="42"/>
      <c r="AB45" s="42"/>
      <c r="AC45" s="42"/>
      <c r="AD45" s="42"/>
      <c r="AE45" s="42"/>
      <c r="AF45" s="42"/>
      <c r="AG45" s="42"/>
      <c r="AH45" s="42"/>
      <c r="AI45" s="42"/>
      <c r="AJ45" s="42"/>
      <c r="AK45" s="42"/>
      <c r="AL45" s="42"/>
      <c r="AM45" s="42"/>
      <c r="AN45" s="42"/>
      <c r="AO45" s="42"/>
      <c r="AP45" s="42"/>
    </row>
    <row r="46" spans="1:42" ht="12.75" hidden="1" customHeight="1" x14ac:dyDescent="0.2">
      <c r="A46" s="42"/>
      <c r="B46" s="42"/>
      <c r="C46" s="42"/>
      <c r="D46" s="42"/>
      <c r="E46" s="42"/>
      <c r="F46" s="42"/>
      <c r="G46" s="42"/>
      <c r="H46" s="42"/>
      <c r="I46" s="42"/>
      <c r="J46" s="42"/>
      <c r="K46" s="42"/>
      <c r="O46" s="42"/>
      <c r="P46" s="42"/>
      <c r="Q46" s="42"/>
      <c r="R46" s="42"/>
      <c r="S46" s="42"/>
      <c r="X46" s="42"/>
      <c r="Y46" s="42"/>
      <c r="Z46" s="42"/>
      <c r="AA46" s="42"/>
      <c r="AB46" s="42"/>
      <c r="AC46" s="42"/>
      <c r="AD46" s="42"/>
      <c r="AE46" s="42"/>
      <c r="AF46" s="42"/>
      <c r="AG46" s="42"/>
      <c r="AH46" s="42"/>
      <c r="AI46" s="42"/>
      <c r="AJ46" s="42"/>
      <c r="AK46" s="42"/>
      <c r="AL46" s="42"/>
      <c r="AM46" s="42"/>
      <c r="AN46" s="42"/>
      <c r="AO46" s="42"/>
      <c r="AP46" s="42"/>
    </row>
    <row r="47" spans="1:42" ht="12.75" hidden="1" customHeight="1" x14ac:dyDescent="0.2">
      <c r="A47" s="42"/>
      <c r="B47" s="42"/>
      <c r="C47" s="42"/>
      <c r="D47" s="42"/>
      <c r="E47" s="42"/>
      <c r="F47" s="42"/>
      <c r="G47" s="42"/>
      <c r="H47" s="42"/>
      <c r="I47" s="42"/>
      <c r="J47" s="42"/>
      <c r="K47" s="42"/>
      <c r="O47" s="42"/>
      <c r="P47" s="42"/>
      <c r="Q47" s="42"/>
      <c r="R47" s="42"/>
      <c r="S47" s="42"/>
      <c r="X47" s="42"/>
      <c r="Y47" s="42"/>
      <c r="Z47" s="42"/>
      <c r="AA47" s="42"/>
      <c r="AB47" s="42"/>
      <c r="AC47" s="42"/>
      <c r="AD47" s="42"/>
      <c r="AE47" s="42"/>
      <c r="AF47" s="42"/>
      <c r="AG47" s="42"/>
      <c r="AH47" s="42"/>
      <c r="AI47" s="42"/>
      <c r="AJ47" s="42"/>
      <c r="AK47" s="42"/>
      <c r="AL47" s="42"/>
      <c r="AM47" s="42"/>
      <c r="AN47" s="42"/>
      <c r="AO47" s="42"/>
      <c r="AP47" s="42"/>
    </row>
    <row r="48" spans="1:42" ht="12.75" hidden="1" customHeight="1" x14ac:dyDescent="0.2">
      <c r="A48" s="42"/>
      <c r="B48" s="42"/>
      <c r="C48" s="42"/>
      <c r="D48" s="42"/>
      <c r="E48" s="42"/>
      <c r="F48" s="42"/>
      <c r="G48" s="42"/>
      <c r="H48" s="42"/>
      <c r="I48" s="42"/>
      <c r="J48" s="42"/>
      <c r="K48" s="42"/>
      <c r="O48" s="42"/>
      <c r="P48" s="42"/>
      <c r="Q48" s="42"/>
      <c r="R48" s="42"/>
      <c r="S48" s="42"/>
      <c r="X48" s="42"/>
      <c r="Y48" s="42"/>
      <c r="Z48" s="42"/>
      <c r="AA48" s="42"/>
      <c r="AB48" s="42"/>
      <c r="AC48" s="42"/>
      <c r="AD48" s="42"/>
      <c r="AE48" s="42"/>
      <c r="AF48" s="42"/>
      <c r="AG48" s="42"/>
      <c r="AH48" s="42"/>
      <c r="AI48" s="42"/>
      <c r="AJ48" s="42"/>
      <c r="AK48" s="42"/>
      <c r="AL48" s="42"/>
      <c r="AM48" s="42"/>
      <c r="AN48" s="42"/>
      <c r="AO48" s="42"/>
      <c r="AP48" s="42"/>
    </row>
    <row r="49" spans="1:42" ht="12.75" hidden="1" customHeight="1" x14ac:dyDescent="0.2">
      <c r="A49" s="42"/>
      <c r="B49" s="42"/>
      <c r="C49" s="42"/>
      <c r="D49" s="42"/>
      <c r="E49" s="42"/>
      <c r="F49" s="42"/>
      <c r="G49" s="42"/>
      <c r="H49" s="42"/>
      <c r="I49" s="42"/>
      <c r="J49" s="42"/>
      <c r="K49" s="42"/>
      <c r="O49" s="42"/>
      <c r="P49" s="42"/>
      <c r="Q49" s="42"/>
      <c r="R49" s="42"/>
      <c r="S49" s="42"/>
      <c r="X49" s="42"/>
      <c r="Y49" s="42"/>
      <c r="Z49" s="42"/>
      <c r="AA49" s="42"/>
      <c r="AB49" s="42"/>
      <c r="AC49" s="42"/>
      <c r="AD49" s="42"/>
      <c r="AE49" s="42"/>
      <c r="AF49" s="42"/>
      <c r="AG49" s="42"/>
      <c r="AH49" s="42"/>
      <c r="AI49" s="42"/>
      <c r="AJ49" s="42"/>
      <c r="AK49" s="42"/>
      <c r="AL49" s="42"/>
      <c r="AM49" s="42"/>
      <c r="AN49" s="42"/>
      <c r="AO49" s="42"/>
      <c r="AP49" s="42"/>
    </row>
    <row r="50" spans="1:42" ht="12.75" hidden="1" customHeight="1" x14ac:dyDescent="0.2">
      <c r="A50" s="42"/>
      <c r="B50" s="42"/>
      <c r="C50" s="42"/>
      <c r="D50" s="42"/>
      <c r="E50" s="42"/>
      <c r="F50" s="42"/>
      <c r="G50" s="42"/>
      <c r="H50" s="42"/>
      <c r="I50" s="42"/>
      <c r="J50" s="42"/>
      <c r="K50" s="42"/>
      <c r="O50" s="42"/>
      <c r="P50" s="42"/>
      <c r="Q50" s="42"/>
      <c r="R50" s="42"/>
      <c r="S50" s="42"/>
      <c r="X50" s="42"/>
      <c r="Y50" s="42"/>
      <c r="Z50" s="42"/>
      <c r="AA50" s="42"/>
      <c r="AB50" s="42"/>
      <c r="AC50" s="42"/>
      <c r="AD50" s="42"/>
      <c r="AE50" s="42"/>
      <c r="AF50" s="42"/>
      <c r="AG50" s="42"/>
      <c r="AH50" s="42"/>
      <c r="AI50" s="42"/>
      <c r="AJ50" s="42"/>
      <c r="AK50" s="42"/>
      <c r="AL50" s="42"/>
      <c r="AM50" s="42"/>
      <c r="AN50" s="42"/>
      <c r="AO50" s="42"/>
      <c r="AP50" s="42"/>
    </row>
    <row r="51" spans="1:42" ht="12.75" hidden="1" customHeight="1" x14ac:dyDescent="0.2">
      <c r="A51" s="42"/>
      <c r="B51" s="42"/>
      <c r="C51" s="42"/>
      <c r="D51" s="42"/>
      <c r="E51" s="42"/>
      <c r="F51" s="42"/>
      <c r="G51" s="42"/>
      <c r="H51" s="42"/>
      <c r="I51" s="42"/>
      <c r="J51" s="42"/>
      <c r="K51" s="42"/>
      <c r="O51" s="42"/>
      <c r="P51" s="42"/>
      <c r="Q51" s="42"/>
      <c r="R51" s="42"/>
      <c r="S51" s="42"/>
      <c r="X51" s="42"/>
      <c r="Y51" s="42"/>
      <c r="Z51" s="42"/>
      <c r="AA51" s="42"/>
      <c r="AB51" s="42"/>
      <c r="AC51" s="42"/>
      <c r="AD51" s="42"/>
      <c r="AE51" s="42"/>
      <c r="AF51" s="42"/>
      <c r="AG51" s="42"/>
      <c r="AH51" s="42"/>
      <c r="AI51" s="42"/>
      <c r="AJ51" s="42"/>
      <c r="AK51" s="42"/>
      <c r="AL51" s="42"/>
      <c r="AM51" s="42"/>
      <c r="AN51" s="42"/>
      <c r="AO51" s="42"/>
      <c r="AP51" s="42"/>
    </row>
    <row r="52" spans="1:42" ht="12.75" hidden="1" customHeight="1" x14ac:dyDescent="0.2">
      <c r="A52" s="42"/>
      <c r="B52" s="42"/>
      <c r="C52" s="42"/>
      <c r="D52" s="42"/>
      <c r="E52" s="42"/>
      <c r="F52" s="42"/>
      <c r="G52" s="42"/>
      <c r="H52" s="42"/>
      <c r="I52" s="42"/>
      <c r="J52" s="42"/>
      <c r="K52" s="42"/>
      <c r="O52" s="42"/>
      <c r="P52" s="42"/>
      <c r="Q52" s="42"/>
      <c r="R52" s="42"/>
      <c r="S52" s="42"/>
      <c r="X52" s="42"/>
      <c r="Y52" s="42"/>
      <c r="Z52" s="42"/>
      <c r="AA52" s="42"/>
      <c r="AB52" s="42"/>
      <c r="AC52" s="42"/>
      <c r="AD52" s="42"/>
      <c r="AE52" s="42"/>
      <c r="AF52" s="42"/>
      <c r="AG52" s="42"/>
      <c r="AH52" s="42"/>
      <c r="AI52" s="42"/>
      <c r="AJ52" s="42"/>
      <c r="AK52" s="42"/>
      <c r="AL52" s="42"/>
      <c r="AM52" s="42"/>
      <c r="AN52" s="42"/>
      <c r="AO52" s="42"/>
      <c r="AP52" s="42"/>
    </row>
    <row r="53" spans="1:42" ht="12.75" hidden="1" customHeight="1" x14ac:dyDescent="0.2">
      <c r="A53" s="42"/>
      <c r="B53" s="42"/>
      <c r="C53" s="42"/>
      <c r="D53" s="42"/>
      <c r="E53" s="42"/>
      <c r="F53" s="42"/>
      <c r="G53" s="42"/>
      <c r="H53" s="42"/>
      <c r="I53" s="42"/>
      <c r="J53" s="42"/>
      <c r="K53" s="42"/>
      <c r="O53" s="42"/>
      <c r="P53" s="42"/>
      <c r="Q53" s="42"/>
      <c r="R53" s="42"/>
      <c r="S53" s="42"/>
      <c r="X53" s="42"/>
      <c r="Y53" s="42"/>
      <c r="Z53" s="42"/>
      <c r="AA53" s="42"/>
      <c r="AB53" s="42"/>
      <c r="AC53" s="42"/>
      <c r="AD53" s="42"/>
      <c r="AE53" s="42"/>
      <c r="AF53" s="42"/>
      <c r="AG53" s="42"/>
      <c r="AH53" s="42"/>
      <c r="AI53" s="42"/>
      <c r="AJ53" s="42"/>
      <c r="AK53" s="42"/>
      <c r="AL53" s="42"/>
      <c r="AM53" s="42"/>
      <c r="AN53" s="42"/>
      <c r="AO53" s="42"/>
      <c r="AP53" s="42"/>
    </row>
    <row r="54" spans="1:42" ht="12.75" hidden="1" customHeight="1" x14ac:dyDescent="0.2">
      <c r="A54" s="42"/>
      <c r="B54" s="42"/>
      <c r="C54" s="42"/>
      <c r="D54" s="42"/>
      <c r="E54" s="42"/>
      <c r="F54" s="42"/>
      <c r="G54" s="42"/>
      <c r="H54" s="42"/>
      <c r="I54" s="42"/>
      <c r="J54" s="42"/>
      <c r="K54" s="42"/>
      <c r="O54" s="42"/>
      <c r="P54" s="42"/>
      <c r="Q54" s="42"/>
      <c r="R54" s="42"/>
      <c r="S54" s="42"/>
      <c r="X54" s="42"/>
      <c r="Y54" s="42"/>
      <c r="Z54" s="42"/>
      <c r="AA54" s="42"/>
      <c r="AB54" s="42"/>
      <c r="AC54" s="42"/>
      <c r="AD54" s="42"/>
      <c r="AE54" s="42"/>
      <c r="AF54" s="42"/>
      <c r="AG54" s="42"/>
      <c r="AH54" s="42"/>
      <c r="AI54" s="42"/>
      <c r="AJ54" s="42"/>
      <c r="AK54" s="42"/>
      <c r="AL54" s="42"/>
      <c r="AM54" s="42"/>
      <c r="AN54" s="42"/>
      <c r="AO54" s="42"/>
      <c r="AP54" s="42"/>
    </row>
    <row r="55" spans="1:42" ht="12.75" hidden="1" customHeight="1" x14ac:dyDescent="0.2">
      <c r="A55" s="42"/>
      <c r="B55" s="42"/>
      <c r="C55" s="42"/>
      <c r="D55" s="42"/>
      <c r="E55" s="42"/>
      <c r="F55" s="42"/>
      <c r="G55" s="42"/>
      <c r="H55" s="42"/>
      <c r="I55" s="42"/>
      <c r="J55" s="42"/>
      <c r="K55" s="42"/>
      <c r="O55" s="42"/>
      <c r="P55" s="42"/>
      <c r="Q55" s="42"/>
      <c r="R55" s="42"/>
      <c r="S55" s="42"/>
      <c r="X55" s="42"/>
      <c r="Y55" s="42"/>
      <c r="Z55" s="42"/>
      <c r="AA55" s="42"/>
      <c r="AB55" s="42"/>
      <c r="AC55" s="42"/>
      <c r="AD55" s="42"/>
      <c r="AE55" s="42"/>
      <c r="AF55" s="42"/>
      <c r="AG55" s="42"/>
      <c r="AH55" s="42"/>
      <c r="AI55" s="42"/>
      <c r="AJ55" s="42"/>
      <c r="AK55" s="42"/>
      <c r="AL55" s="42"/>
      <c r="AM55" s="42"/>
      <c r="AN55" s="42"/>
      <c r="AO55" s="42"/>
      <c r="AP55" s="42"/>
    </row>
    <row r="56" spans="1:42" ht="12.75" hidden="1" customHeight="1" x14ac:dyDescent="0.2">
      <c r="A56" s="42"/>
      <c r="B56" s="42"/>
      <c r="C56" s="42"/>
      <c r="D56" s="42"/>
      <c r="E56" s="42"/>
      <c r="F56" s="42"/>
      <c r="G56" s="42"/>
      <c r="H56" s="42"/>
      <c r="I56" s="42"/>
      <c r="J56" s="42"/>
      <c r="K56" s="42"/>
      <c r="O56" s="42"/>
      <c r="P56" s="42"/>
      <c r="Q56" s="42"/>
      <c r="R56" s="42"/>
      <c r="S56" s="42"/>
      <c r="X56" s="42"/>
      <c r="Y56" s="42"/>
      <c r="Z56" s="42"/>
      <c r="AA56" s="42"/>
      <c r="AB56" s="42"/>
      <c r="AC56" s="42"/>
      <c r="AD56" s="42"/>
      <c r="AE56" s="42"/>
      <c r="AF56" s="42"/>
      <c r="AG56" s="42"/>
      <c r="AH56" s="42"/>
      <c r="AI56" s="42"/>
      <c r="AJ56" s="42"/>
      <c r="AK56" s="42"/>
      <c r="AL56" s="42"/>
      <c r="AM56" s="42"/>
      <c r="AN56" s="42"/>
      <c r="AO56" s="42"/>
      <c r="AP56" s="42"/>
    </row>
    <row r="57" spans="1:42" ht="12.75" hidden="1" customHeight="1" x14ac:dyDescent="0.2">
      <c r="A57" s="42"/>
      <c r="B57" s="42"/>
      <c r="C57" s="42"/>
      <c r="D57" s="42"/>
      <c r="E57" s="42"/>
      <c r="F57" s="42"/>
      <c r="G57" s="42"/>
      <c r="H57" s="42"/>
      <c r="I57" s="42"/>
      <c r="J57" s="42"/>
      <c r="K57" s="42"/>
      <c r="O57" s="42"/>
      <c r="P57" s="42"/>
      <c r="Q57" s="42"/>
      <c r="R57" s="42"/>
      <c r="S57" s="42"/>
      <c r="X57" s="42"/>
      <c r="Y57" s="42"/>
      <c r="Z57" s="42"/>
      <c r="AA57" s="42"/>
      <c r="AB57" s="42"/>
      <c r="AC57" s="42"/>
      <c r="AD57" s="42"/>
      <c r="AE57" s="42"/>
      <c r="AF57" s="42"/>
      <c r="AG57" s="42"/>
      <c r="AH57" s="42"/>
      <c r="AI57" s="42"/>
      <c r="AJ57" s="42"/>
      <c r="AK57" s="42"/>
      <c r="AL57" s="42"/>
      <c r="AM57" s="42"/>
      <c r="AN57" s="42"/>
      <c r="AO57" s="42"/>
      <c r="AP57" s="42"/>
    </row>
    <row r="58" spans="1:42" ht="12.75" hidden="1" customHeight="1" x14ac:dyDescent="0.2">
      <c r="A58" s="42"/>
      <c r="B58" s="42"/>
      <c r="C58" s="42"/>
      <c r="D58" s="42"/>
      <c r="E58" s="42"/>
      <c r="F58" s="42"/>
      <c r="G58" s="42"/>
      <c r="H58" s="42"/>
      <c r="I58" s="42"/>
      <c r="J58" s="42"/>
      <c r="K58" s="42"/>
      <c r="O58" s="42"/>
      <c r="P58" s="42"/>
      <c r="Q58" s="42"/>
      <c r="R58" s="42"/>
      <c r="S58" s="42"/>
      <c r="X58" s="42"/>
      <c r="Y58" s="42"/>
      <c r="Z58" s="42"/>
      <c r="AA58" s="42"/>
      <c r="AB58" s="42"/>
      <c r="AC58" s="42"/>
      <c r="AD58" s="42"/>
      <c r="AE58" s="42"/>
      <c r="AF58" s="42"/>
      <c r="AG58" s="42"/>
      <c r="AH58" s="42"/>
      <c r="AI58" s="42"/>
      <c r="AJ58" s="42"/>
      <c r="AK58" s="42"/>
      <c r="AL58" s="42"/>
      <c r="AM58" s="42"/>
      <c r="AN58" s="42"/>
      <c r="AO58" s="42"/>
      <c r="AP58" s="42"/>
    </row>
    <row r="59" spans="1:42" ht="12.75" hidden="1" customHeight="1" x14ac:dyDescent="0.2">
      <c r="A59" s="42"/>
      <c r="B59" s="42"/>
      <c r="C59" s="42"/>
      <c r="D59" s="42"/>
      <c r="E59" s="42"/>
      <c r="F59" s="42"/>
      <c r="G59" s="42"/>
      <c r="H59" s="42"/>
      <c r="I59" s="42"/>
      <c r="J59" s="42"/>
      <c r="K59" s="42"/>
      <c r="O59" s="42"/>
      <c r="P59" s="42"/>
      <c r="Q59" s="42"/>
      <c r="R59" s="42"/>
      <c r="S59" s="42"/>
      <c r="X59" s="42"/>
      <c r="Y59" s="42"/>
      <c r="Z59" s="42"/>
      <c r="AA59" s="42"/>
      <c r="AB59" s="42"/>
      <c r="AC59" s="42"/>
      <c r="AD59" s="42"/>
      <c r="AE59" s="42"/>
      <c r="AF59" s="42"/>
      <c r="AG59" s="42"/>
      <c r="AH59" s="42"/>
      <c r="AI59" s="42"/>
      <c r="AJ59" s="42"/>
      <c r="AK59" s="42"/>
      <c r="AL59" s="42"/>
      <c r="AM59" s="42"/>
      <c r="AN59" s="42"/>
      <c r="AO59" s="42"/>
      <c r="AP59" s="42"/>
    </row>
    <row r="60" spans="1:42" ht="12.75" hidden="1" customHeight="1" x14ac:dyDescent="0.2">
      <c r="A60" s="42"/>
      <c r="B60" s="42"/>
      <c r="C60" s="42"/>
      <c r="D60" s="42"/>
      <c r="E60" s="42"/>
      <c r="F60" s="42"/>
      <c r="G60" s="42"/>
      <c r="H60" s="42"/>
      <c r="I60" s="42"/>
      <c r="J60" s="42"/>
      <c r="K60" s="42"/>
      <c r="O60" s="42"/>
      <c r="P60" s="42"/>
      <c r="Q60" s="42"/>
      <c r="R60" s="42"/>
      <c r="S60" s="42"/>
      <c r="X60" s="42"/>
      <c r="Y60" s="42"/>
      <c r="Z60" s="42"/>
      <c r="AA60" s="42"/>
      <c r="AB60" s="42"/>
      <c r="AC60" s="42"/>
      <c r="AD60" s="42"/>
      <c r="AE60" s="42"/>
      <c r="AF60" s="42"/>
      <c r="AG60" s="42"/>
      <c r="AH60" s="42"/>
      <c r="AI60" s="42"/>
      <c r="AJ60" s="42"/>
      <c r="AK60" s="42"/>
      <c r="AL60" s="42"/>
      <c r="AM60" s="42"/>
      <c r="AN60" s="42"/>
      <c r="AO60" s="42"/>
      <c r="AP60" s="42"/>
    </row>
    <row r="61" spans="1:42" ht="12.75" hidden="1" customHeight="1" x14ac:dyDescent="0.2">
      <c r="A61" s="42"/>
      <c r="B61" s="42"/>
      <c r="C61" s="42"/>
      <c r="D61" s="42"/>
      <c r="E61" s="42"/>
      <c r="F61" s="42"/>
      <c r="G61" s="42"/>
      <c r="H61" s="42"/>
      <c r="I61" s="42"/>
      <c r="J61" s="42"/>
      <c r="K61" s="42"/>
      <c r="O61" s="42"/>
      <c r="P61" s="42"/>
      <c r="Q61" s="42"/>
      <c r="R61" s="42"/>
      <c r="S61" s="42"/>
      <c r="X61" s="42"/>
      <c r="Y61" s="42"/>
      <c r="Z61" s="42"/>
      <c r="AA61" s="42"/>
      <c r="AB61" s="42"/>
      <c r="AC61" s="42"/>
      <c r="AD61" s="42"/>
      <c r="AE61" s="42"/>
      <c r="AF61" s="42"/>
      <c r="AG61" s="42"/>
      <c r="AH61" s="42"/>
      <c r="AI61" s="42"/>
      <c r="AJ61" s="42"/>
      <c r="AK61" s="42"/>
      <c r="AL61" s="42"/>
      <c r="AM61" s="42"/>
      <c r="AN61" s="42"/>
      <c r="AO61" s="42"/>
      <c r="AP61" s="42"/>
    </row>
    <row r="62" spans="1:42" ht="12.75" hidden="1" customHeight="1" x14ac:dyDescent="0.2">
      <c r="A62" s="42"/>
      <c r="B62" s="42"/>
      <c r="C62" s="42"/>
      <c r="D62" s="42"/>
      <c r="E62" s="42"/>
      <c r="F62" s="42"/>
      <c r="G62" s="42"/>
      <c r="H62" s="42"/>
      <c r="I62" s="42"/>
      <c r="J62" s="42"/>
      <c r="K62" s="42"/>
      <c r="O62" s="42"/>
      <c r="P62" s="42"/>
      <c r="Q62" s="42"/>
      <c r="R62" s="42"/>
      <c r="S62" s="42"/>
      <c r="X62" s="42"/>
      <c r="Y62" s="42"/>
      <c r="Z62" s="42"/>
      <c r="AA62" s="42"/>
      <c r="AB62" s="42"/>
      <c r="AC62" s="42"/>
      <c r="AD62" s="42"/>
      <c r="AE62" s="42"/>
      <c r="AF62" s="42"/>
      <c r="AG62" s="42"/>
      <c r="AH62" s="42"/>
      <c r="AI62" s="42"/>
      <c r="AJ62" s="42"/>
      <c r="AK62" s="42"/>
      <c r="AL62" s="42"/>
      <c r="AM62" s="42"/>
      <c r="AN62" s="42"/>
      <c r="AO62" s="42"/>
      <c r="AP62" s="42"/>
    </row>
    <row r="63" spans="1:42" ht="12.75" hidden="1" customHeight="1" x14ac:dyDescent="0.2">
      <c r="A63" s="42"/>
      <c r="B63" s="42"/>
      <c r="C63" s="42"/>
      <c r="D63" s="42"/>
      <c r="E63" s="42"/>
      <c r="F63" s="42"/>
      <c r="G63" s="42"/>
      <c r="H63" s="42"/>
      <c r="I63" s="42"/>
      <c r="J63" s="42"/>
      <c r="K63" s="42"/>
      <c r="O63" s="42"/>
      <c r="P63" s="42"/>
      <c r="Q63" s="42"/>
      <c r="R63" s="42"/>
      <c r="S63" s="42"/>
      <c r="X63" s="42"/>
      <c r="Y63" s="42"/>
      <c r="Z63" s="42"/>
      <c r="AA63" s="42"/>
      <c r="AB63" s="42"/>
      <c r="AC63" s="42"/>
      <c r="AD63" s="42"/>
      <c r="AE63" s="42"/>
      <c r="AF63" s="42"/>
      <c r="AG63" s="42"/>
      <c r="AH63" s="42"/>
      <c r="AI63" s="42"/>
      <c r="AJ63" s="42"/>
      <c r="AK63" s="42"/>
      <c r="AL63" s="42"/>
      <c r="AM63" s="42"/>
      <c r="AN63" s="42"/>
      <c r="AO63" s="42"/>
      <c r="AP63" s="42"/>
    </row>
    <row r="64" spans="1:42" ht="12.75" hidden="1" customHeight="1" x14ac:dyDescent="0.2">
      <c r="A64" s="42"/>
      <c r="B64" s="42"/>
      <c r="C64" s="42"/>
      <c r="D64" s="42"/>
      <c r="E64" s="42"/>
      <c r="F64" s="42"/>
      <c r="G64" s="42"/>
      <c r="H64" s="42"/>
      <c r="I64" s="42"/>
      <c r="J64" s="42"/>
      <c r="K64" s="42"/>
      <c r="O64" s="42"/>
      <c r="P64" s="42"/>
      <c r="Q64" s="42"/>
      <c r="R64" s="42"/>
      <c r="S64" s="42"/>
      <c r="X64" s="42"/>
      <c r="Y64" s="42"/>
      <c r="Z64" s="42"/>
      <c r="AA64" s="42"/>
      <c r="AB64" s="42"/>
      <c r="AC64" s="42"/>
      <c r="AD64" s="42"/>
      <c r="AE64" s="42"/>
      <c r="AF64" s="42"/>
      <c r="AG64" s="42"/>
      <c r="AH64" s="42"/>
      <c r="AI64" s="42"/>
      <c r="AJ64" s="42"/>
      <c r="AK64" s="42"/>
      <c r="AL64" s="42"/>
      <c r="AM64" s="42"/>
      <c r="AN64" s="42"/>
      <c r="AO64" s="42"/>
      <c r="AP64" s="42"/>
    </row>
    <row r="65" spans="1:42" ht="12.75" hidden="1" customHeight="1" x14ac:dyDescent="0.2">
      <c r="A65" s="42"/>
      <c r="B65" s="42"/>
      <c r="C65" s="42"/>
      <c r="D65" s="42"/>
      <c r="E65" s="42"/>
      <c r="F65" s="42"/>
      <c r="G65" s="42"/>
      <c r="H65" s="42"/>
      <c r="I65" s="42"/>
      <c r="J65" s="42"/>
      <c r="K65" s="42"/>
      <c r="O65" s="42"/>
      <c r="P65" s="42"/>
      <c r="Q65" s="42"/>
      <c r="R65" s="42"/>
      <c r="S65" s="42"/>
      <c r="X65" s="42"/>
      <c r="Y65" s="42"/>
      <c r="Z65" s="42"/>
      <c r="AA65" s="42"/>
      <c r="AB65" s="42"/>
      <c r="AC65" s="42"/>
      <c r="AD65" s="42"/>
      <c r="AE65" s="42"/>
      <c r="AF65" s="42"/>
      <c r="AG65" s="42"/>
      <c r="AH65" s="42"/>
      <c r="AI65" s="42"/>
      <c r="AJ65" s="42"/>
      <c r="AK65" s="42"/>
      <c r="AL65" s="42"/>
      <c r="AM65" s="42"/>
      <c r="AN65" s="42"/>
      <c r="AO65" s="42"/>
      <c r="AP65" s="42"/>
    </row>
    <row r="66" spans="1:42" ht="12.75" hidden="1" customHeight="1" x14ac:dyDescent="0.2">
      <c r="A66" s="42"/>
      <c r="B66" s="42"/>
      <c r="C66" s="42"/>
      <c r="D66" s="42"/>
      <c r="E66" s="42"/>
      <c r="F66" s="42"/>
      <c r="G66" s="42"/>
      <c r="H66" s="42"/>
      <c r="I66" s="42"/>
      <c r="J66" s="42"/>
      <c r="K66" s="42"/>
      <c r="O66" s="42"/>
      <c r="P66" s="42"/>
      <c r="Q66" s="42"/>
      <c r="R66" s="42"/>
      <c r="S66" s="42"/>
      <c r="X66" s="42"/>
      <c r="Y66" s="42"/>
      <c r="Z66" s="42"/>
      <c r="AA66" s="42"/>
      <c r="AB66" s="42"/>
      <c r="AC66" s="42"/>
      <c r="AD66" s="42"/>
      <c r="AE66" s="42"/>
      <c r="AF66" s="42"/>
      <c r="AG66" s="42"/>
      <c r="AH66" s="42"/>
      <c r="AI66" s="42"/>
      <c r="AJ66" s="42"/>
      <c r="AK66" s="42"/>
      <c r="AL66" s="42"/>
      <c r="AM66" s="42"/>
      <c r="AN66" s="42"/>
      <c r="AO66" s="42"/>
      <c r="AP66" s="42"/>
    </row>
    <row r="67" spans="1:42" ht="12.75" hidden="1" customHeight="1" x14ac:dyDescent="0.2">
      <c r="A67" s="42"/>
      <c r="B67" s="42"/>
      <c r="C67" s="42"/>
      <c r="D67" s="42"/>
      <c r="E67" s="42"/>
      <c r="F67" s="42"/>
      <c r="G67" s="42"/>
      <c r="H67" s="42"/>
      <c r="I67" s="42"/>
      <c r="J67" s="42"/>
      <c r="K67" s="42"/>
      <c r="O67" s="42"/>
      <c r="P67" s="42"/>
      <c r="Q67" s="42"/>
      <c r="R67" s="42"/>
      <c r="S67" s="42"/>
      <c r="X67" s="42"/>
      <c r="Y67" s="42"/>
      <c r="Z67" s="42"/>
      <c r="AA67" s="42"/>
      <c r="AB67" s="42"/>
      <c r="AC67" s="42"/>
      <c r="AD67" s="42"/>
      <c r="AE67" s="42"/>
      <c r="AF67" s="42"/>
      <c r="AG67" s="42"/>
      <c r="AH67" s="42"/>
      <c r="AI67" s="42"/>
      <c r="AJ67" s="42"/>
      <c r="AK67" s="42"/>
      <c r="AL67" s="42"/>
      <c r="AM67" s="42"/>
      <c r="AN67" s="42"/>
      <c r="AO67" s="42"/>
      <c r="AP67" s="42"/>
    </row>
    <row r="68" spans="1:42" ht="12.75" hidden="1" customHeight="1" x14ac:dyDescent="0.2">
      <c r="A68" s="42"/>
      <c r="B68" s="42"/>
      <c r="C68" s="42"/>
      <c r="D68" s="42"/>
      <c r="E68" s="42"/>
      <c r="F68" s="42"/>
      <c r="G68" s="42"/>
      <c r="H68" s="42"/>
      <c r="I68" s="42"/>
      <c r="J68" s="42"/>
      <c r="K68" s="42"/>
      <c r="O68" s="42"/>
      <c r="P68" s="42"/>
      <c r="Q68" s="42"/>
      <c r="R68" s="42"/>
      <c r="S68" s="42"/>
      <c r="X68" s="42"/>
      <c r="Y68" s="42"/>
      <c r="Z68" s="42"/>
      <c r="AA68" s="42"/>
      <c r="AB68" s="42"/>
      <c r="AC68" s="42"/>
      <c r="AD68" s="42"/>
      <c r="AE68" s="42"/>
      <c r="AF68" s="42"/>
      <c r="AG68" s="42"/>
      <c r="AH68" s="42"/>
      <c r="AI68" s="42"/>
      <c r="AJ68" s="42"/>
      <c r="AK68" s="42"/>
      <c r="AL68" s="42"/>
      <c r="AM68" s="42"/>
      <c r="AN68" s="42"/>
      <c r="AO68" s="42"/>
      <c r="AP68" s="42"/>
    </row>
    <row r="69" spans="1:42" ht="12.75" hidden="1" customHeight="1" x14ac:dyDescent="0.2">
      <c r="A69" s="42"/>
      <c r="B69" s="42"/>
      <c r="C69" s="42"/>
      <c r="D69" s="42"/>
      <c r="E69" s="42"/>
      <c r="F69" s="42"/>
      <c r="G69" s="42"/>
      <c r="H69" s="42"/>
      <c r="I69" s="42"/>
      <c r="J69" s="42"/>
      <c r="K69" s="42"/>
      <c r="O69" s="42"/>
      <c r="P69" s="42"/>
      <c r="Q69" s="42"/>
      <c r="R69" s="42"/>
      <c r="S69" s="42"/>
      <c r="X69" s="42"/>
      <c r="Y69" s="42"/>
      <c r="Z69" s="42"/>
      <c r="AA69" s="42"/>
      <c r="AB69" s="42"/>
      <c r="AC69" s="42"/>
      <c r="AD69" s="42"/>
      <c r="AE69" s="42"/>
      <c r="AF69" s="42"/>
      <c r="AG69" s="42"/>
      <c r="AH69" s="42"/>
      <c r="AI69" s="42"/>
      <c r="AJ69" s="42"/>
      <c r="AK69" s="42"/>
      <c r="AL69" s="42"/>
      <c r="AM69" s="42"/>
      <c r="AN69" s="42"/>
      <c r="AO69" s="42"/>
      <c r="AP69" s="42"/>
    </row>
    <row r="70" spans="1:42" ht="12.75" hidden="1" customHeight="1" x14ac:dyDescent="0.2">
      <c r="A70" s="42"/>
      <c r="B70" s="42"/>
      <c r="C70" s="42"/>
      <c r="D70" s="42"/>
      <c r="E70" s="42"/>
      <c r="F70" s="42"/>
      <c r="G70" s="42"/>
      <c r="H70" s="42"/>
      <c r="I70" s="42"/>
      <c r="J70" s="42"/>
      <c r="K70" s="42"/>
      <c r="O70" s="42"/>
      <c r="P70" s="42"/>
      <c r="Q70" s="42"/>
      <c r="R70" s="42"/>
      <c r="S70" s="42"/>
      <c r="X70" s="42"/>
      <c r="Y70" s="42"/>
      <c r="Z70" s="42"/>
      <c r="AA70" s="42"/>
      <c r="AB70" s="42"/>
      <c r="AC70" s="42"/>
      <c r="AD70" s="42"/>
      <c r="AE70" s="42"/>
      <c r="AF70" s="42"/>
      <c r="AG70" s="42"/>
      <c r="AH70" s="42"/>
      <c r="AI70" s="42"/>
      <c r="AJ70" s="42"/>
      <c r="AK70" s="42"/>
      <c r="AL70" s="42"/>
      <c r="AM70" s="42"/>
      <c r="AN70" s="42"/>
      <c r="AO70" s="42"/>
      <c r="AP70" s="42"/>
    </row>
    <row r="71" spans="1:42" ht="12.75" hidden="1" customHeight="1" x14ac:dyDescent="0.2">
      <c r="A71" s="42"/>
      <c r="B71" s="42"/>
      <c r="C71" s="42"/>
      <c r="D71" s="42"/>
      <c r="E71" s="42"/>
      <c r="F71" s="42"/>
      <c r="G71" s="42"/>
      <c r="H71" s="42"/>
      <c r="I71" s="42"/>
      <c r="J71" s="42"/>
      <c r="K71" s="42"/>
      <c r="O71" s="42"/>
      <c r="P71" s="42"/>
      <c r="Q71" s="42"/>
      <c r="R71" s="42"/>
      <c r="S71" s="42"/>
      <c r="X71" s="42"/>
      <c r="Y71" s="42"/>
      <c r="Z71" s="42"/>
      <c r="AA71" s="42"/>
      <c r="AB71" s="42"/>
      <c r="AC71" s="42"/>
      <c r="AD71" s="42"/>
      <c r="AE71" s="42"/>
      <c r="AF71" s="42"/>
      <c r="AG71" s="42"/>
      <c r="AH71" s="42"/>
      <c r="AI71" s="42"/>
      <c r="AJ71" s="42"/>
      <c r="AK71" s="42"/>
      <c r="AL71" s="42"/>
      <c r="AM71" s="42"/>
      <c r="AN71" s="42"/>
      <c r="AO71" s="42"/>
      <c r="AP71" s="42"/>
    </row>
    <row r="72" spans="1:42" ht="12.75" hidden="1" customHeight="1" x14ac:dyDescent="0.2">
      <c r="A72" s="42"/>
      <c r="B72" s="42"/>
      <c r="C72" s="42"/>
      <c r="D72" s="42"/>
      <c r="E72" s="42"/>
      <c r="F72" s="42"/>
      <c r="G72" s="42"/>
      <c r="H72" s="42"/>
      <c r="I72" s="42"/>
      <c r="J72" s="42"/>
      <c r="K72" s="42"/>
      <c r="O72" s="42"/>
      <c r="P72" s="42"/>
      <c r="Q72" s="42"/>
      <c r="R72" s="42"/>
      <c r="S72" s="42"/>
      <c r="X72" s="42"/>
      <c r="Y72" s="42"/>
      <c r="Z72" s="42"/>
      <c r="AA72" s="42"/>
      <c r="AB72" s="42"/>
      <c r="AC72" s="42"/>
      <c r="AD72" s="42"/>
      <c r="AE72" s="42"/>
      <c r="AF72" s="42"/>
      <c r="AG72" s="42"/>
      <c r="AH72" s="42"/>
      <c r="AI72" s="42"/>
      <c r="AJ72" s="42"/>
      <c r="AK72" s="42"/>
      <c r="AL72" s="42"/>
      <c r="AM72" s="42"/>
      <c r="AN72" s="42"/>
      <c r="AO72" s="42"/>
      <c r="AP72" s="42"/>
    </row>
    <row r="73" spans="1:42" ht="12.75" hidden="1" customHeight="1" x14ac:dyDescent="0.2">
      <c r="A73" s="42"/>
      <c r="B73" s="42"/>
      <c r="C73" s="42"/>
      <c r="D73" s="42"/>
      <c r="E73" s="42"/>
      <c r="F73" s="42"/>
      <c r="G73" s="42"/>
      <c r="H73" s="42"/>
      <c r="I73" s="42"/>
      <c r="J73" s="42"/>
      <c r="K73" s="42"/>
      <c r="O73" s="42"/>
      <c r="P73" s="42"/>
      <c r="Q73" s="42"/>
      <c r="R73" s="42"/>
      <c r="S73" s="42"/>
      <c r="X73" s="42"/>
      <c r="Y73" s="42"/>
      <c r="Z73" s="42"/>
      <c r="AA73" s="42"/>
      <c r="AB73" s="42"/>
      <c r="AC73" s="42"/>
      <c r="AD73" s="42"/>
      <c r="AE73" s="42"/>
      <c r="AF73" s="42"/>
      <c r="AG73" s="42"/>
      <c r="AH73" s="42"/>
      <c r="AI73" s="42"/>
      <c r="AJ73" s="42"/>
      <c r="AK73" s="42"/>
      <c r="AL73" s="42"/>
      <c r="AM73" s="42"/>
      <c r="AN73" s="42"/>
      <c r="AO73" s="42"/>
      <c r="AP73" s="42"/>
    </row>
    <row r="74" spans="1:42" ht="12.75" hidden="1" customHeight="1" x14ac:dyDescent="0.2">
      <c r="A74" s="42"/>
      <c r="B74" s="42"/>
      <c r="C74" s="42"/>
      <c r="D74" s="42"/>
      <c r="E74" s="42"/>
      <c r="F74" s="42"/>
      <c r="G74" s="42"/>
      <c r="H74" s="42"/>
      <c r="I74" s="42"/>
      <c r="J74" s="42"/>
      <c r="K74" s="42"/>
      <c r="O74" s="42"/>
      <c r="P74" s="42"/>
      <c r="Q74" s="42"/>
      <c r="R74" s="42"/>
      <c r="S74" s="42"/>
      <c r="X74" s="42"/>
      <c r="Y74" s="42"/>
      <c r="Z74" s="42"/>
      <c r="AA74" s="42"/>
      <c r="AB74" s="42"/>
      <c r="AC74" s="42"/>
      <c r="AD74" s="42"/>
      <c r="AE74" s="42"/>
      <c r="AF74" s="42"/>
      <c r="AG74" s="42"/>
      <c r="AH74" s="42"/>
      <c r="AI74" s="42"/>
      <c r="AJ74" s="42"/>
      <c r="AK74" s="42"/>
      <c r="AL74" s="42"/>
      <c r="AM74" s="42"/>
      <c r="AN74" s="42"/>
      <c r="AO74" s="42"/>
      <c r="AP74" s="42"/>
    </row>
    <row r="75" spans="1:42" ht="12.75" hidden="1" customHeight="1" x14ac:dyDescent="0.2">
      <c r="A75" s="42"/>
      <c r="B75" s="42"/>
      <c r="C75" s="42"/>
      <c r="D75" s="42"/>
      <c r="E75" s="42"/>
      <c r="F75" s="42"/>
      <c r="G75" s="42"/>
      <c r="H75" s="42"/>
      <c r="I75" s="42"/>
      <c r="J75" s="42"/>
      <c r="K75" s="42"/>
      <c r="O75" s="42"/>
      <c r="P75" s="42"/>
      <c r="Q75" s="42"/>
      <c r="R75" s="42"/>
      <c r="S75" s="42"/>
      <c r="X75" s="42"/>
      <c r="Y75" s="42"/>
      <c r="Z75" s="42"/>
      <c r="AA75" s="42"/>
      <c r="AB75" s="42"/>
      <c r="AC75" s="42"/>
      <c r="AD75" s="42"/>
      <c r="AE75" s="42"/>
      <c r="AF75" s="42"/>
      <c r="AG75" s="42"/>
      <c r="AH75" s="42"/>
      <c r="AI75" s="42"/>
      <c r="AJ75" s="42"/>
      <c r="AK75" s="42"/>
      <c r="AL75" s="42"/>
      <c r="AM75" s="42"/>
      <c r="AN75" s="42"/>
      <c r="AO75" s="42"/>
      <c r="AP75" s="42"/>
    </row>
    <row r="76" spans="1:42" ht="12.75" hidden="1" customHeight="1" x14ac:dyDescent="0.2">
      <c r="A76" s="42"/>
      <c r="B76" s="42"/>
      <c r="C76" s="42"/>
      <c r="D76" s="42"/>
      <c r="E76" s="42"/>
      <c r="F76" s="42"/>
      <c r="G76" s="42"/>
      <c r="H76" s="42"/>
      <c r="I76" s="42"/>
      <c r="J76" s="42"/>
      <c r="K76" s="42"/>
      <c r="O76" s="42"/>
      <c r="P76" s="42"/>
      <c r="Q76" s="42"/>
      <c r="R76" s="42"/>
      <c r="S76" s="42"/>
      <c r="X76" s="42"/>
      <c r="Y76" s="42"/>
      <c r="Z76" s="42"/>
      <c r="AA76" s="42"/>
      <c r="AB76" s="42"/>
      <c r="AC76" s="42"/>
      <c r="AD76" s="42"/>
      <c r="AE76" s="42"/>
      <c r="AF76" s="42"/>
      <c r="AG76" s="42"/>
      <c r="AH76" s="42"/>
      <c r="AI76" s="42"/>
      <c r="AJ76" s="42"/>
      <c r="AK76" s="42"/>
      <c r="AL76" s="42"/>
      <c r="AM76" s="42"/>
      <c r="AN76" s="42"/>
      <c r="AO76" s="42"/>
      <c r="AP76" s="42"/>
    </row>
    <row r="77" spans="1:42" ht="12.75" hidden="1" customHeight="1" x14ac:dyDescent="0.2">
      <c r="A77" s="42"/>
      <c r="B77" s="42"/>
      <c r="C77" s="42"/>
      <c r="D77" s="42"/>
      <c r="E77" s="42"/>
      <c r="F77" s="42"/>
      <c r="G77" s="42"/>
      <c r="H77" s="42"/>
      <c r="I77" s="42"/>
      <c r="J77" s="42"/>
      <c r="K77" s="42"/>
      <c r="O77" s="42"/>
      <c r="P77" s="42"/>
      <c r="Q77" s="42"/>
      <c r="R77" s="42"/>
      <c r="S77" s="42"/>
      <c r="X77" s="42"/>
      <c r="Y77" s="42"/>
      <c r="Z77" s="42"/>
      <c r="AA77" s="42"/>
      <c r="AB77" s="42"/>
      <c r="AC77" s="42"/>
      <c r="AD77" s="42"/>
      <c r="AE77" s="42"/>
      <c r="AF77" s="42"/>
      <c r="AG77" s="42"/>
      <c r="AH77" s="42"/>
      <c r="AI77" s="42"/>
      <c r="AJ77" s="42"/>
      <c r="AK77" s="42"/>
      <c r="AL77" s="42"/>
      <c r="AM77" s="42"/>
      <c r="AN77" s="42"/>
      <c r="AO77" s="42"/>
      <c r="AP77" s="42"/>
    </row>
    <row r="78" spans="1:42" ht="12.75" hidden="1" customHeight="1" x14ac:dyDescent="0.2">
      <c r="A78" s="42"/>
      <c r="B78" s="42"/>
      <c r="C78" s="42"/>
      <c r="D78" s="42"/>
      <c r="E78" s="42"/>
      <c r="F78" s="42"/>
      <c r="G78" s="42"/>
      <c r="H78" s="42"/>
      <c r="I78" s="42"/>
      <c r="J78" s="42"/>
      <c r="K78" s="42"/>
      <c r="O78" s="42"/>
      <c r="P78" s="42"/>
      <c r="Q78" s="42"/>
      <c r="R78" s="42"/>
      <c r="S78" s="42"/>
      <c r="X78" s="42"/>
      <c r="Y78" s="42"/>
      <c r="Z78" s="42"/>
      <c r="AA78" s="42"/>
      <c r="AB78" s="42"/>
      <c r="AC78" s="42"/>
      <c r="AD78" s="42"/>
      <c r="AE78" s="42"/>
      <c r="AF78" s="42"/>
      <c r="AG78" s="42"/>
      <c r="AH78" s="42"/>
      <c r="AI78" s="42"/>
      <c r="AJ78" s="42"/>
      <c r="AK78" s="42"/>
      <c r="AL78" s="42"/>
      <c r="AM78" s="42"/>
      <c r="AN78" s="42"/>
      <c r="AO78" s="42"/>
      <c r="AP78" s="42"/>
    </row>
    <row r="79" spans="1:42" ht="12.75" hidden="1" customHeight="1" x14ac:dyDescent="0.2">
      <c r="A79" s="42"/>
      <c r="B79" s="42"/>
      <c r="C79" s="42"/>
      <c r="D79" s="42"/>
      <c r="E79" s="42"/>
      <c r="F79" s="42"/>
      <c r="G79" s="42"/>
      <c r="H79" s="42"/>
      <c r="I79" s="42"/>
      <c r="J79" s="42"/>
      <c r="K79" s="42"/>
      <c r="O79" s="42"/>
      <c r="P79" s="42"/>
      <c r="Q79" s="42"/>
      <c r="R79" s="42"/>
      <c r="S79" s="42"/>
      <c r="X79" s="42"/>
      <c r="Y79" s="42"/>
      <c r="Z79" s="42"/>
      <c r="AA79" s="42"/>
      <c r="AB79" s="42"/>
      <c r="AC79" s="42"/>
      <c r="AD79" s="42"/>
      <c r="AE79" s="42"/>
      <c r="AF79" s="42"/>
      <c r="AG79" s="42"/>
      <c r="AH79" s="42"/>
      <c r="AI79" s="42"/>
      <c r="AJ79" s="42"/>
      <c r="AK79" s="42"/>
      <c r="AL79" s="42"/>
      <c r="AM79" s="42"/>
      <c r="AN79" s="42"/>
      <c r="AO79" s="42"/>
      <c r="AP79" s="42"/>
    </row>
    <row r="80" spans="1:42" ht="12.75" hidden="1" customHeight="1" x14ac:dyDescent="0.2">
      <c r="A80" s="42"/>
      <c r="B80" s="42"/>
      <c r="C80" s="42"/>
      <c r="D80" s="42"/>
      <c r="E80" s="42"/>
      <c r="F80" s="42"/>
      <c r="G80" s="42"/>
      <c r="H80" s="42"/>
      <c r="I80" s="42"/>
      <c r="J80" s="42"/>
      <c r="K80" s="42"/>
      <c r="O80" s="42"/>
      <c r="P80" s="42"/>
      <c r="Q80" s="42"/>
      <c r="R80" s="42"/>
      <c r="S80" s="42"/>
      <c r="X80" s="42"/>
      <c r="Y80" s="42"/>
      <c r="Z80" s="42"/>
      <c r="AA80" s="42"/>
      <c r="AB80" s="42"/>
      <c r="AC80" s="42"/>
      <c r="AD80" s="42"/>
      <c r="AE80" s="42"/>
      <c r="AF80" s="42"/>
      <c r="AG80" s="42"/>
      <c r="AH80" s="42"/>
      <c r="AI80" s="42"/>
      <c r="AJ80" s="42"/>
      <c r="AK80" s="42"/>
      <c r="AL80" s="42"/>
      <c r="AM80" s="42"/>
      <c r="AN80" s="42"/>
      <c r="AO80" s="42"/>
      <c r="AP80" s="42"/>
    </row>
    <row r="81" spans="1:42" ht="12.75" hidden="1" customHeight="1" x14ac:dyDescent="0.2">
      <c r="A81" s="42"/>
      <c r="B81" s="42"/>
      <c r="C81" s="42"/>
      <c r="D81" s="42"/>
      <c r="E81" s="42"/>
      <c r="F81" s="42"/>
      <c r="G81" s="42"/>
      <c r="H81" s="42"/>
      <c r="I81" s="42"/>
      <c r="J81" s="42"/>
      <c r="K81" s="42"/>
      <c r="O81" s="42"/>
      <c r="P81" s="42"/>
      <c r="Q81" s="42"/>
      <c r="R81" s="42"/>
      <c r="S81" s="42"/>
      <c r="X81" s="42"/>
      <c r="Y81" s="42"/>
      <c r="Z81" s="42"/>
      <c r="AA81" s="42"/>
      <c r="AB81" s="42"/>
      <c r="AC81" s="42"/>
      <c r="AD81" s="42"/>
      <c r="AE81" s="42"/>
      <c r="AF81" s="42"/>
      <c r="AG81" s="42"/>
      <c r="AH81" s="42"/>
      <c r="AI81" s="42"/>
      <c r="AJ81" s="42"/>
      <c r="AK81" s="42"/>
      <c r="AL81" s="42"/>
      <c r="AM81" s="42"/>
      <c r="AN81" s="42"/>
      <c r="AO81" s="42"/>
      <c r="AP81" s="42"/>
    </row>
    <row r="82" spans="1:42" ht="12.75" hidden="1" customHeight="1" x14ac:dyDescent="0.2">
      <c r="A82" s="42"/>
      <c r="B82" s="42"/>
      <c r="C82" s="42"/>
      <c r="D82" s="42"/>
      <c r="E82" s="42"/>
      <c r="F82" s="42"/>
      <c r="G82" s="42"/>
      <c r="H82" s="42"/>
      <c r="I82" s="42"/>
      <c r="J82" s="42"/>
      <c r="K82" s="42"/>
      <c r="O82" s="42"/>
      <c r="P82" s="42"/>
      <c r="Q82" s="42"/>
      <c r="R82" s="42"/>
      <c r="S82" s="42"/>
      <c r="X82" s="42"/>
      <c r="Y82" s="42"/>
      <c r="Z82" s="42"/>
      <c r="AA82" s="42"/>
      <c r="AB82" s="42"/>
      <c r="AC82" s="42"/>
      <c r="AD82" s="42"/>
      <c r="AE82" s="42"/>
      <c r="AF82" s="42"/>
      <c r="AG82" s="42"/>
      <c r="AH82" s="42"/>
      <c r="AI82" s="42"/>
      <c r="AJ82" s="42"/>
      <c r="AK82" s="42"/>
      <c r="AL82" s="42"/>
      <c r="AM82" s="42"/>
      <c r="AN82" s="42"/>
      <c r="AO82" s="42"/>
      <c r="AP82" s="42"/>
    </row>
    <row r="83" spans="1:42" ht="12.75" hidden="1" customHeight="1" x14ac:dyDescent="0.2">
      <c r="A83" s="42"/>
      <c r="B83" s="42"/>
      <c r="C83" s="42"/>
      <c r="D83" s="42"/>
      <c r="E83" s="42"/>
      <c r="F83" s="42"/>
      <c r="G83" s="42"/>
      <c r="H83" s="42"/>
      <c r="I83" s="42"/>
      <c r="J83" s="42"/>
      <c r="K83" s="42"/>
      <c r="O83" s="42"/>
      <c r="P83" s="42"/>
      <c r="Q83" s="42"/>
      <c r="R83" s="42"/>
      <c r="S83" s="42"/>
      <c r="X83" s="42"/>
      <c r="Y83" s="42"/>
      <c r="Z83" s="42"/>
      <c r="AA83" s="42"/>
      <c r="AB83" s="42"/>
      <c r="AC83" s="42"/>
      <c r="AD83" s="42"/>
      <c r="AE83" s="42"/>
      <c r="AF83" s="42"/>
      <c r="AG83" s="42"/>
      <c r="AH83" s="42"/>
      <c r="AI83" s="42"/>
      <c r="AJ83" s="42"/>
      <c r="AK83" s="42"/>
      <c r="AL83" s="42"/>
      <c r="AM83" s="42"/>
      <c r="AN83" s="42"/>
      <c r="AO83" s="42"/>
      <c r="AP83" s="42"/>
    </row>
    <row r="84" spans="1:42" ht="12.75" hidden="1" customHeight="1" x14ac:dyDescent="0.2">
      <c r="A84" s="42"/>
      <c r="B84" s="42"/>
      <c r="C84" s="42"/>
      <c r="D84" s="42"/>
      <c r="E84" s="42"/>
      <c r="F84" s="42"/>
      <c r="G84" s="42"/>
      <c r="H84" s="42"/>
      <c r="I84" s="42"/>
      <c r="J84" s="42"/>
      <c r="K84" s="42"/>
      <c r="O84" s="42"/>
      <c r="P84" s="42"/>
      <c r="Q84" s="42"/>
      <c r="R84" s="42"/>
      <c r="S84" s="42"/>
      <c r="X84" s="42"/>
      <c r="Y84" s="42"/>
      <c r="Z84" s="42"/>
      <c r="AA84" s="42"/>
      <c r="AB84" s="42"/>
      <c r="AC84" s="42"/>
      <c r="AD84" s="42"/>
      <c r="AE84" s="42"/>
      <c r="AF84" s="42"/>
      <c r="AG84" s="42"/>
      <c r="AH84" s="42"/>
      <c r="AI84" s="42"/>
      <c r="AJ84" s="42"/>
      <c r="AK84" s="42"/>
      <c r="AL84" s="42"/>
      <c r="AM84" s="42"/>
      <c r="AN84" s="42"/>
      <c r="AO84" s="42"/>
      <c r="AP84" s="42"/>
    </row>
    <row r="85" spans="1:42" ht="12.75" hidden="1" customHeight="1" x14ac:dyDescent="0.2">
      <c r="A85" s="42"/>
      <c r="B85" s="42"/>
      <c r="C85" s="42"/>
      <c r="D85" s="42"/>
      <c r="E85" s="42"/>
      <c r="F85" s="42"/>
      <c r="G85" s="42"/>
      <c r="H85" s="42"/>
      <c r="I85" s="42"/>
      <c r="J85" s="42"/>
      <c r="K85" s="42"/>
      <c r="O85" s="42"/>
      <c r="P85" s="42"/>
      <c r="Q85" s="42"/>
      <c r="R85" s="42"/>
      <c r="S85" s="42"/>
      <c r="X85" s="42"/>
      <c r="Y85" s="42"/>
      <c r="Z85" s="42"/>
      <c r="AA85" s="42"/>
      <c r="AB85" s="42"/>
      <c r="AC85" s="42"/>
      <c r="AD85" s="42"/>
      <c r="AE85" s="42"/>
      <c r="AF85" s="42"/>
      <c r="AG85" s="42"/>
      <c r="AH85" s="42"/>
      <c r="AI85" s="42"/>
      <c r="AJ85" s="42"/>
      <c r="AK85" s="42"/>
      <c r="AL85" s="42"/>
      <c r="AM85" s="42"/>
      <c r="AN85" s="42"/>
      <c r="AO85" s="42"/>
      <c r="AP85" s="42"/>
    </row>
    <row r="86" spans="1:42" ht="12.75" hidden="1" customHeight="1" x14ac:dyDescent="0.2">
      <c r="A86" s="42"/>
      <c r="B86" s="42"/>
      <c r="C86" s="42"/>
      <c r="D86" s="42"/>
      <c r="E86" s="42"/>
      <c r="F86" s="42"/>
      <c r="G86" s="42"/>
      <c r="H86" s="42"/>
      <c r="I86" s="42"/>
      <c r="J86" s="42"/>
      <c r="K86" s="42"/>
      <c r="O86" s="42"/>
      <c r="P86" s="42"/>
      <c r="Q86" s="42"/>
      <c r="R86" s="42"/>
      <c r="S86" s="42"/>
      <c r="X86" s="42"/>
      <c r="Y86" s="42"/>
      <c r="Z86" s="42"/>
      <c r="AA86" s="42"/>
      <c r="AB86" s="42"/>
      <c r="AC86" s="42"/>
      <c r="AD86" s="42"/>
      <c r="AE86" s="42"/>
      <c r="AF86" s="42"/>
      <c r="AG86" s="42"/>
      <c r="AH86" s="42"/>
      <c r="AI86" s="42"/>
      <c r="AJ86" s="42"/>
      <c r="AK86" s="42"/>
      <c r="AL86" s="42"/>
      <c r="AM86" s="42"/>
      <c r="AN86" s="42"/>
      <c r="AO86" s="42"/>
      <c r="AP86" s="42"/>
    </row>
    <row r="87" spans="1:42" ht="12.75" hidden="1" customHeight="1" x14ac:dyDescent="0.2">
      <c r="A87" s="42"/>
      <c r="B87" s="42"/>
      <c r="C87" s="42"/>
      <c r="D87" s="42"/>
      <c r="E87" s="42"/>
      <c r="F87" s="42"/>
      <c r="G87" s="42"/>
      <c r="H87" s="42"/>
      <c r="I87" s="42"/>
      <c r="J87" s="42"/>
      <c r="K87" s="42"/>
      <c r="O87" s="42"/>
      <c r="P87" s="42"/>
      <c r="Q87" s="42"/>
      <c r="R87" s="42"/>
      <c r="S87" s="42"/>
      <c r="X87" s="42"/>
      <c r="Y87" s="42"/>
      <c r="Z87" s="42"/>
      <c r="AA87" s="42"/>
      <c r="AB87" s="42"/>
      <c r="AC87" s="42"/>
      <c r="AD87" s="42"/>
      <c r="AE87" s="42"/>
      <c r="AF87" s="42"/>
      <c r="AG87" s="42"/>
      <c r="AH87" s="42"/>
      <c r="AI87" s="42"/>
      <c r="AJ87" s="42"/>
      <c r="AK87" s="42"/>
      <c r="AL87" s="42"/>
      <c r="AM87" s="42"/>
      <c r="AN87" s="42"/>
      <c r="AO87" s="42"/>
      <c r="AP87" s="42"/>
    </row>
    <row r="88" spans="1:42" ht="12.75" hidden="1" customHeight="1" x14ac:dyDescent="0.2">
      <c r="A88" s="42"/>
      <c r="B88" s="42"/>
      <c r="C88" s="42"/>
      <c r="D88" s="42"/>
      <c r="E88" s="42"/>
      <c r="F88" s="42"/>
      <c r="G88" s="42"/>
      <c r="H88" s="42"/>
      <c r="I88" s="42"/>
      <c r="J88" s="42"/>
      <c r="K88" s="42"/>
      <c r="O88" s="42"/>
      <c r="P88" s="42"/>
      <c r="Q88" s="42"/>
      <c r="R88" s="42"/>
      <c r="S88" s="42"/>
      <c r="X88" s="42"/>
      <c r="Y88" s="42"/>
      <c r="Z88" s="42"/>
      <c r="AA88" s="42"/>
      <c r="AB88" s="42"/>
      <c r="AC88" s="42"/>
      <c r="AD88" s="42"/>
      <c r="AE88" s="42"/>
      <c r="AF88" s="42"/>
      <c r="AG88" s="42"/>
      <c r="AH88" s="42"/>
      <c r="AI88" s="42"/>
      <c r="AJ88" s="42"/>
      <c r="AK88" s="42"/>
      <c r="AL88" s="42"/>
      <c r="AM88" s="42"/>
      <c r="AN88" s="42"/>
      <c r="AO88" s="42"/>
      <c r="AP88" s="42"/>
    </row>
    <row r="89" spans="1:42" ht="12.75" hidden="1" customHeight="1" x14ac:dyDescent="0.2">
      <c r="A89" s="42"/>
      <c r="B89" s="42"/>
      <c r="C89" s="42"/>
      <c r="D89" s="42"/>
      <c r="E89" s="42"/>
      <c r="F89" s="42"/>
      <c r="G89" s="42"/>
      <c r="H89" s="42"/>
      <c r="I89" s="42"/>
      <c r="J89" s="42"/>
      <c r="K89" s="42"/>
      <c r="O89" s="42"/>
      <c r="P89" s="42"/>
      <c r="Q89" s="42"/>
      <c r="R89" s="42"/>
      <c r="S89" s="42"/>
      <c r="X89" s="42"/>
      <c r="Y89" s="42"/>
      <c r="Z89" s="42"/>
      <c r="AA89" s="42"/>
      <c r="AB89" s="42"/>
      <c r="AC89" s="42"/>
      <c r="AD89" s="42"/>
      <c r="AE89" s="42"/>
      <c r="AF89" s="42"/>
      <c r="AG89" s="42"/>
      <c r="AH89" s="42"/>
      <c r="AI89" s="42"/>
      <c r="AJ89" s="42"/>
      <c r="AK89" s="42"/>
      <c r="AL89" s="42"/>
      <c r="AM89" s="42"/>
      <c r="AN89" s="42"/>
      <c r="AO89" s="42"/>
      <c r="AP89" s="42"/>
    </row>
    <row r="90" spans="1:42" ht="12.75" hidden="1" customHeight="1" x14ac:dyDescent="0.2">
      <c r="A90" s="42"/>
      <c r="B90" s="42"/>
      <c r="C90" s="42"/>
      <c r="D90" s="42"/>
      <c r="E90" s="42"/>
      <c r="F90" s="42"/>
      <c r="G90" s="42"/>
      <c r="H90" s="42"/>
      <c r="I90" s="42"/>
      <c r="J90" s="42"/>
      <c r="K90" s="42"/>
      <c r="O90" s="42"/>
      <c r="P90" s="42"/>
      <c r="Q90" s="42"/>
      <c r="R90" s="42"/>
      <c r="S90" s="42"/>
      <c r="X90" s="42"/>
      <c r="Y90" s="42"/>
      <c r="Z90" s="42"/>
      <c r="AA90" s="42"/>
      <c r="AB90" s="42"/>
      <c r="AC90" s="42"/>
      <c r="AD90" s="42"/>
      <c r="AE90" s="42"/>
      <c r="AF90" s="42"/>
      <c r="AG90" s="42"/>
      <c r="AH90" s="42"/>
      <c r="AI90" s="42"/>
      <c r="AJ90" s="42"/>
      <c r="AK90" s="42"/>
      <c r="AL90" s="42"/>
      <c r="AM90" s="42"/>
      <c r="AN90" s="42"/>
      <c r="AO90" s="42"/>
      <c r="AP90" s="42"/>
    </row>
    <row r="91" spans="1:42" ht="12.75" hidden="1" customHeight="1" x14ac:dyDescent="0.2">
      <c r="A91" s="42"/>
      <c r="B91" s="42"/>
      <c r="C91" s="42"/>
      <c r="D91" s="42"/>
      <c r="E91" s="42"/>
      <c r="F91" s="42"/>
      <c r="G91" s="42"/>
      <c r="H91" s="42"/>
      <c r="I91" s="42"/>
      <c r="J91" s="42"/>
      <c r="K91" s="42"/>
      <c r="O91" s="42"/>
      <c r="P91" s="42"/>
      <c r="Q91" s="42"/>
      <c r="R91" s="42"/>
      <c r="S91" s="42"/>
      <c r="X91" s="42"/>
      <c r="Y91" s="42"/>
      <c r="Z91" s="42"/>
      <c r="AA91" s="42"/>
      <c r="AB91" s="42"/>
      <c r="AC91" s="42"/>
      <c r="AD91" s="42"/>
      <c r="AE91" s="42"/>
      <c r="AF91" s="42"/>
      <c r="AG91" s="42"/>
      <c r="AH91" s="42"/>
      <c r="AI91" s="42"/>
      <c r="AJ91" s="42"/>
      <c r="AK91" s="42"/>
      <c r="AL91" s="42"/>
      <c r="AM91" s="42"/>
      <c r="AN91" s="42"/>
      <c r="AO91" s="42"/>
      <c r="AP91" s="42"/>
    </row>
    <row r="92" spans="1:42" ht="12.75" hidden="1" customHeight="1" x14ac:dyDescent="0.2">
      <c r="A92" s="42"/>
      <c r="B92" s="42"/>
      <c r="C92" s="42"/>
      <c r="D92" s="42"/>
      <c r="E92" s="42"/>
      <c r="F92" s="42"/>
      <c r="G92" s="42"/>
      <c r="H92" s="42"/>
      <c r="I92" s="42"/>
      <c r="J92" s="42"/>
      <c r="K92" s="42"/>
      <c r="O92" s="42"/>
      <c r="P92" s="42"/>
      <c r="Q92" s="42"/>
      <c r="R92" s="42"/>
      <c r="S92" s="42"/>
      <c r="X92" s="42"/>
      <c r="Y92" s="42"/>
      <c r="Z92" s="42"/>
      <c r="AA92" s="42"/>
      <c r="AB92" s="42"/>
      <c r="AC92" s="42"/>
      <c r="AD92" s="42"/>
      <c r="AE92" s="42"/>
      <c r="AF92" s="42"/>
      <c r="AG92" s="42"/>
      <c r="AH92" s="42"/>
      <c r="AI92" s="42"/>
      <c r="AJ92" s="42"/>
      <c r="AK92" s="42"/>
      <c r="AL92" s="42"/>
      <c r="AM92" s="42"/>
      <c r="AN92" s="42"/>
      <c r="AO92" s="42"/>
      <c r="AP92" s="42"/>
    </row>
    <row r="93" spans="1:42" ht="12.75" hidden="1" customHeight="1" x14ac:dyDescent="0.2">
      <c r="A93" s="42"/>
      <c r="B93" s="42"/>
      <c r="C93" s="42"/>
      <c r="D93" s="42"/>
      <c r="E93" s="42"/>
      <c r="F93" s="42"/>
      <c r="G93" s="42"/>
      <c r="H93" s="42"/>
      <c r="I93" s="42"/>
      <c r="J93" s="42"/>
      <c r="K93" s="42"/>
      <c r="O93" s="42"/>
      <c r="P93" s="42"/>
      <c r="Q93" s="42"/>
      <c r="R93" s="42"/>
      <c r="S93" s="42"/>
      <c r="X93" s="42"/>
      <c r="Y93" s="42"/>
      <c r="Z93" s="42"/>
      <c r="AA93" s="42"/>
      <c r="AB93" s="42"/>
      <c r="AC93" s="42"/>
      <c r="AD93" s="42"/>
      <c r="AE93" s="42"/>
      <c r="AF93" s="42"/>
      <c r="AG93" s="42"/>
      <c r="AH93" s="42"/>
      <c r="AI93" s="42"/>
      <c r="AJ93" s="42"/>
      <c r="AK93" s="42"/>
      <c r="AL93" s="42"/>
      <c r="AM93" s="42"/>
      <c r="AN93" s="42"/>
      <c r="AO93" s="42"/>
      <c r="AP93" s="42"/>
    </row>
    <row r="94" spans="1:42" ht="12.75" hidden="1" customHeight="1" x14ac:dyDescent="0.2">
      <c r="A94" s="42"/>
      <c r="B94" s="42"/>
      <c r="C94" s="42"/>
      <c r="D94" s="42"/>
      <c r="E94" s="42"/>
      <c r="F94" s="42"/>
      <c r="G94" s="42"/>
      <c r="H94" s="42"/>
      <c r="I94" s="42"/>
      <c r="J94" s="42"/>
      <c r="K94" s="42"/>
      <c r="O94" s="42"/>
      <c r="P94" s="42"/>
      <c r="Q94" s="42"/>
      <c r="R94" s="42"/>
      <c r="S94" s="42"/>
      <c r="X94" s="42"/>
      <c r="Y94" s="42"/>
      <c r="Z94" s="42"/>
      <c r="AA94" s="42"/>
      <c r="AB94" s="42"/>
      <c r="AC94" s="42"/>
      <c r="AD94" s="42"/>
      <c r="AE94" s="42"/>
      <c r="AF94" s="42"/>
      <c r="AG94" s="42"/>
      <c r="AH94" s="42"/>
      <c r="AI94" s="42"/>
      <c r="AJ94" s="42"/>
      <c r="AK94" s="42"/>
      <c r="AL94" s="42"/>
      <c r="AM94" s="42"/>
      <c r="AN94" s="42"/>
      <c r="AO94" s="42"/>
      <c r="AP94" s="42"/>
    </row>
    <row r="95" spans="1:42" ht="12.75" hidden="1" customHeight="1" x14ac:dyDescent="0.2">
      <c r="A95" s="42"/>
      <c r="B95" s="42"/>
      <c r="C95" s="42"/>
      <c r="D95" s="42"/>
      <c r="E95" s="42"/>
      <c r="F95" s="42"/>
      <c r="G95" s="42"/>
      <c r="H95" s="42"/>
      <c r="I95" s="42"/>
      <c r="J95" s="42"/>
      <c r="K95" s="42"/>
      <c r="O95" s="42"/>
      <c r="P95" s="42"/>
      <c r="Q95" s="42"/>
      <c r="R95" s="42"/>
      <c r="S95" s="42"/>
      <c r="X95" s="42"/>
      <c r="Y95" s="42"/>
      <c r="Z95" s="42"/>
      <c r="AA95" s="42"/>
      <c r="AB95" s="42"/>
      <c r="AC95" s="42"/>
      <c r="AD95" s="42"/>
      <c r="AE95" s="42"/>
      <c r="AF95" s="42"/>
      <c r="AG95" s="42"/>
      <c r="AH95" s="42"/>
      <c r="AI95" s="42"/>
      <c r="AJ95" s="42"/>
      <c r="AK95" s="42"/>
      <c r="AL95" s="42"/>
      <c r="AM95" s="42"/>
      <c r="AN95" s="42"/>
      <c r="AO95" s="42"/>
      <c r="AP95" s="42"/>
    </row>
    <row r="96" spans="1:42" ht="12.75" hidden="1" customHeight="1" x14ac:dyDescent="0.2">
      <c r="A96" s="42"/>
      <c r="B96" s="42"/>
      <c r="C96" s="42"/>
      <c r="D96" s="42"/>
      <c r="E96" s="42"/>
      <c r="F96" s="42"/>
      <c r="G96" s="42"/>
      <c r="H96" s="42"/>
      <c r="I96" s="42"/>
      <c r="J96" s="42"/>
      <c r="K96" s="42"/>
      <c r="O96" s="42"/>
      <c r="P96" s="42"/>
      <c r="Q96" s="42"/>
      <c r="R96" s="42"/>
      <c r="S96" s="42"/>
      <c r="X96" s="42"/>
      <c r="Y96" s="42"/>
      <c r="Z96" s="42"/>
      <c r="AA96" s="42"/>
      <c r="AB96" s="42"/>
      <c r="AC96" s="42"/>
      <c r="AD96" s="42"/>
      <c r="AE96" s="42"/>
      <c r="AF96" s="42"/>
      <c r="AG96" s="42"/>
      <c r="AH96" s="42"/>
      <c r="AI96" s="42"/>
      <c r="AJ96" s="42"/>
      <c r="AK96" s="42"/>
      <c r="AL96" s="42"/>
      <c r="AM96" s="42"/>
      <c r="AN96" s="42"/>
      <c r="AO96" s="42"/>
      <c r="AP96" s="42"/>
    </row>
    <row r="97" spans="1:42" ht="12.75" hidden="1" customHeight="1" x14ac:dyDescent="0.2">
      <c r="A97" s="42"/>
      <c r="B97" s="42"/>
      <c r="C97" s="42"/>
      <c r="D97" s="42"/>
      <c r="E97" s="42"/>
      <c r="F97" s="42"/>
      <c r="G97" s="42"/>
      <c r="H97" s="42"/>
      <c r="I97" s="42"/>
      <c r="J97" s="42"/>
      <c r="K97" s="42"/>
      <c r="O97" s="42"/>
      <c r="P97" s="42"/>
      <c r="Q97" s="42"/>
      <c r="R97" s="42"/>
      <c r="S97" s="42"/>
      <c r="X97" s="42"/>
      <c r="Y97" s="42"/>
      <c r="Z97" s="42"/>
      <c r="AA97" s="42"/>
      <c r="AB97" s="42"/>
      <c r="AC97" s="42"/>
      <c r="AD97" s="42"/>
      <c r="AE97" s="42"/>
      <c r="AF97" s="42"/>
      <c r="AG97" s="42"/>
      <c r="AH97" s="42"/>
      <c r="AI97" s="42"/>
      <c r="AJ97" s="42"/>
      <c r="AK97" s="42"/>
      <c r="AL97" s="42"/>
      <c r="AM97" s="42"/>
      <c r="AN97" s="42"/>
      <c r="AO97" s="42"/>
      <c r="AP97" s="42"/>
    </row>
    <row r="98" spans="1:42" ht="12.75" hidden="1" customHeight="1" x14ac:dyDescent="0.2">
      <c r="A98" s="42"/>
      <c r="B98" s="42"/>
      <c r="C98" s="42"/>
      <c r="D98" s="42"/>
      <c r="E98" s="42"/>
      <c r="F98" s="42"/>
      <c r="G98" s="42"/>
      <c r="H98" s="42"/>
      <c r="I98" s="42"/>
      <c r="J98" s="42"/>
      <c r="K98" s="42"/>
      <c r="O98" s="42"/>
      <c r="P98" s="42"/>
      <c r="Q98" s="42"/>
      <c r="R98" s="42"/>
      <c r="S98" s="42"/>
      <c r="X98" s="42"/>
      <c r="Y98" s="42"/>
      <c r="Z98" s="42"/>
      <c r="AA98" s="42"/>
      <c r="AB98" s="42"/>
      <c r="AC98" s="42"/>
      <c r="AD98" s="42"/>
      <c r="AE98" s="42"/>
      <c r="AF98" s="42"/>
      <c r="AG98" s="42"/>
      <c r="AH98" s="42"/>
      <c r="AI98" s="42"/>
      <c r="AJ98" s="42"/>
      <c r="AK98" s="42"/>
      <c r="AL98" s="42"/>
      <c r="AM98" s="42"/>
      <c r="AN98" s="42"/>
      <c r="AO98" s="42"/>
      <c r="AP98" s="42"/>
    </row>
    <row r="99" spans="1:42" ht="12.75" hidden="1" customHeight="1" x14ac:dyDescent="0.2">
      <c r="A99" s="42"/>
      <c r="B99" s="42"/>
      <c r="C99" s="42"/>
      <c r="D99" s="42"/>
      <c r="E99" s="42"/>
      <c r="F99" s="42"/>
      <c r="G99" s="42"/>
      <c r="H99" s="42"/>
      <c r="I99" s="42"/>
      <c r="J99" s="42"/>
      <c r="K99" s="42"/>
      <c r="O99" s="42"/>
      <c r="P99" s="42"/>
      <c r="Q99" s="42"/>
      <c r="R99" s="42"/>
      <c r="S99" s="42"/>
      <c r="X99" s="42"/>
      <c r="Y99" s="42"/>
      <c r="Z99" s="42"/>
      <c r="AA99" s="42"/>
      <c r="AB99" s="42"/>
      <c r="AC99" s="42"/>
      <c r="AD99" s="42"/>
      <c r="AE99" s="42"/>
      <c r="AF99" s="42"/>
      <c r="AG99" s="42"/>
      <c r="AH99" s="42"/>
      <c r="AI99" s="42"/>
      <c r="AJ99" s="42"/>
      <c r="AK99" s="42"/>
      <c r="AL99" s="42"/>
      <c r="AM99" s="42"/>
      <c r="AN99" s="42"/>
      <c r="AO99" s="42"/>
      <c r="AP99" s="42"/>
    </row>
    <row r="100" spans="1:42" ht="12.75" hidden="1" customHeight="1" x14ac:dyDescent="0.2">
      <c r="A100" s="42"/>
      <c r="B100" s="42"/>
      <c r="C100" s="42"/>
      <c r="D100" s="42"/>
      <c r="E100" s="42"/>
      <c r="F100" s="42"/>
      <c r="G100" s="42"/>
      <c r="H100" s="42"/>
      <c r="I100" s="42"/>
      <c r="J100" s="42"/>
      <c r="K100" s="42"/>
      <c r="O100" s="42"/>
      <c r="P100" s="42"/>
      <c r="Q100" s="42"/>
      <c r="R100" s="42"/>
      <c r="S100" s="42"/>
      <c r="X100" s="42"/>
      <c r="Y100" s="42"/>
      <c r="Z100" s="42"/>
      <c r="AA100" s="42"/>
      <c r="AB100" s="42"/>
      <c r="AC100" s="42"/>
      <c r="AD100" s="42"/>
      <c r="AE100" s="42"/>
      <c r="AF100" s="42"/>
      <c r="AG100" s="42"/>
      <c r="AH100" s="42"/>
      <c r="AI100" s="42"/>
      <c r="AJ100" s="42"/>
      <c r="AK100" s="42"/>
      <c r="AL100" s="42"/>
      <c r="AM100" s="42"/>
      <c r="AN100" s="42"/>
      <c r="AO100" s="42"/>
      <c r="AP100" s="42"/>
    </row>
    <row r="101" spans="1:42" ht="12.75" hidden="1" customHeight="1" x14ac:dyDescent="0.2">
      <c r="A101" s="42"/>
      <c r="B101" s="42"/>
      <c r="C101" s="42"/>
      <c r="D101" s="42"/>
      <c r="E101" s="42"/>
      <c r="F101" s="42"/>
      <c r="G101" s="42"/>
      <c r="H101" s="42"/>
      <c r="I101" s="42"/>
      <c r="J101" s="42"/>
      <c r="K101" s="42"/>
      <c r="O101" s="42"/>
      <c r="P101" s="42"/>
      <c r="Q101" s="42"/>
      <c r="R101" s="42"/>
      <c r="S101" s="42"/>
      <c r="X101" s="42"/>
      <c r="Y101" s="42"/>
      <c r="Z101" s="42"/>
      <c r="AA101" s="42"/>
      <c r="AB101" s="42"/>
      <c r="AC101" s="42"/>
      <c r="AD101" s="42"/>
      <c r="AE101" s="42"/>
      <c r="AF101" s="42"/>
      <c r="AG101" s="42"/>
      <c r="AH101" s="42"/>
      <c r="AI101" s="42"/>
      <c r="AJ101" s="42"/>
      <c r="AK101" s="42"/>
      <c r="AL101" s="42"/>
      <c r="AM101" s="42"/>
      <c r="AN101" s="42"/>
      <c r="AO101" s="42"/>
      <c r="AP101" s="42"/>
    </row>
    <row r="102" spans="1:42" ht="12.75" hidden="1" customHeight="1" x14ac:dyDescent="0.2">
      <c r="A102" s="42"/>
      <c r="B102" s="42"/>
      <c r="C102" s="42"/>
      <c r="D102" s="42"/>
      <c r="E102" s="42"/>
      <c r="F102" s="42"/>
      <c r="G102" s="42"/>
      <c r="H102" s="42"/>
      <c r="I102" s="42"/>
      <c r="J102" s="42"/>
      <c r="K102" s="42"/>
      <c r="O102" s="42"/>
      <c r="P102" s="42"/>
      <c r="Q102" s="42"/>
      <c r="R102" s="42"/>
      <c r="S102" s="42"/>
      <c r="X102" s="42"/>
      <c r="Y102" s="42"/>
      <c r="Z102" s="42"/>
      <c r="AA102" s="42"/>
      <c r="AB102" s="42"/>
      <c r="AC102" s="42"/>
      <c r="AD102" s="42"/>
      <c r="AE102" s="42"/>
      <c r="AF102" s="42"/>
      <c r="AG102" s="42"/>
      <c r="AH102" s="42"/>
      <c r="AI102" s="42"/>
      <c r="AJ102" s="42"/>
      <c r="AK102" s="42"/>
      <c r="AL102" s="42"/>
      <c r="AM102" s="42"/>
      <c r="AN102" s="42"/>
      <c r="AO102" s="42"/>
      <c r="AP102" s="42"/>
    </row>
    <row r="103" spans="1:42" ht="12.75" hidden="1" customHeight="1" x14ac:dyDescent="0.2">
      <c r="A103" s="42"/>
      <c r="B103" s="42"/>
      <c r="C103" s="42"/>
      <c r="D103" s="42"/>
      <c r="E103" s="42"/>
      <c r="F103" s="42"/>
      <c r="G103" s="42"/>
      <c r="H103" s="42"/>
      <c r="I103" s="42"/>
      <c r="J103" s="42"/>
      <c r="K103" s="42"/>
      <c r="O103" s="42"/>
      <c r="P103" s="42"/>
      <c r="Q103" s="42"/>
      <c r="R103" s="42"/>
      <c r="S103" s="42"/>
      <c r="X103" s="42"/>
      <c r="Y103" s="42"/>
      <c r="Z103" s="42"/>
      <c r="AA103" s="42"/>
      <c r="AB103" s="42"/>
      <c r="AC103" s="42"/>
      <c r="AD103" s="42"/>
      <c r="AE103" s="42"/>
      <c r="AF103" s="42"/>
      <c r="AG103" s="42"/>
      <c r="AH103" s="42"/>
      <c r="AI103" s="42"/>
      <c r="AJ103" s="42"/>
      <c r="AK103" s="42"/>
      <c r="AL103" s="42"/>
      <c r="AM103" s="42"/>
      <c r="AN103" s="42"/>
      <c r="AO103" s="42"/>
      <c r="AP103" s="42"/>
    </row>
    <row r="104" spans="1:42" ht="12.75" hidden="1" customHeight="1" x14ac:dyDescent="0.2">
      <c r="A104" s="42"/>
      <c r="B104" s="42"/>
      <c r="C104" s="42"/>
      <c r="D104" s="42"/>
      <c r="E104" s="42"/>
      <c r="F104" s="42"/>
      <c r="G104" s="42"/>
      <c r="H104" s="42"/>
      <c r="I104" s="42"/>
      <c r="J104" s="42"/>
      <c r="K104" s="42"/>
      <c r="O104" s="42"/>
      <c r="P104" s="42"/>
      <c r="Q104" s="42"/>
      <c r="R104" s="42"/>
      <c r="S104" s="42"/>
      <c r="X104" s="42"/>
      <c r="Y104" s="42"/>
      <c r="Z104" s="42"/>
      <c r="AA104" s="42"/>
      <c r="AB104" s="42"/>
      <c r="AC104" s="42"/>
      <c r="AD104" s="42"/>
      <c r="AE104" s="42"/>
      <c r="AF104" s="42"/>
      <c r="AG104" s="42"/>
      <c r="AH104" s="42"/>
      <c r="AI104" s="42"/>
      <c r="AJ104" s="42"/>
      <c r="AK104" s="42"/>
      <c r="AL104" s="42"/>
      <c r="AM104" s="42"/>
      <c r="AN104" s="42"/>
      <c r="AO104" s="42"/>
      <c r="AP104" s="42"/>
    </row>
    <row r="105" spans="1:42" ht="12.75" hidden="1" customHeight="1" x14ac:dyDescent="0.2">
      <c r="A105" s="42"/>
      <c r="B105" s="42"/>
      <c r="C105" s="42"/>
      <c r="D105" s="42"/>
      <c r="E105" s="42"/>
      <c r="F105" s="42"/>
      <c r="G105" s="42"/>
      <c r="H105" s="42"/>
      <c r="I105" s="42"/>
      <c r="J105" s="42"/>
      <c r="K105" s="42"/>
      <c r="O105" s="42"/>
      <c r="P105" s="42"/>
      <c r="Q105" s="42"/>
      <c r="R105" s="42"/>
      <c r="S105" s="42"/>
      <c r="X105" s="42"/>
      <c r="Y105" s="42"/>
      <c r="Z105" s="42"/>
      <c r="AA105" s="42"/>
      <c r="AB105" s="42"/>
      <c r="AC105" s="42"/>
      <c r="AD105" s="42"/>
      <c r="AE105" s="42"/>
      <c r="AF105" s="42"/>
      <c r="AG105" s="42"/>
      <c r="AH105" s="42"/>
      <c r="AI105" s="42"/>
      <c r="AJ105" s="42"/>
      <c r="AK105" s="42"/>
      <c r="AL105" s="42"/>
      <c r="AM105" s="42"/>
      <c r="AN105" s="42"/>
      <c r="AO105" s="42"/>
      <c r="AP105" s="42"/>
    </row>
    <row r="106" spans="1:42" ht="12.75" hidden="1" customHeight="1" x14ac:dyDescent="0.2">
      <c r="A106" s="42"/>
      <c r="B106" s="42"/>
      <c r="C106" s="42"/>
      <c r="D106" s="42"/>
      <c r="E106" s="42"/>
      <c r="F106" s="42"/>
      <c r="G106" s="42"/>
      <c r="H106" s="42"/>
      <c r="I106" s="42"/>
      <c r="J106" s="42"/>
      <c r="K106" s="42"/>
      <c r="O106" s="42"/>
      <c r="P106" s="42"/>
      <c r="Q106" s="42"/>
      <c r="R106" s="42"/>
      <c r="S106" s="42"/>
      <c r="X106" s="42"/>
      <c r="Y106" s="42"/>
      <c r="Z106" s="42"/>
      <c r="AA106" s="42"/>
      <c r="AB106" s="42"/>
      <c r="AC106" s="42"/>
      <c r="AD106" s="42"/>
      <c r="AE106" s="42"/>
      <c r="AF106" s="42"/>
      <c r="AG106" s="42"/>
      <c r="AH106" s="42"/>
      <c r="AI106" s="42"/>
      <c r="AJ106" s="42"/>
      <c r="AK106" s="42"/>
      <c r="AL106" s="42"/>
      <c r="AM106" s="42"/>
      <c r="AN106" s="42"/>
      <c r="AO106" s="42"/>
      <c r="AP106" s="42"/>
    </row>
    <row r="107" spans="1:42" ht="12.75" hidden="1" customHeight="1" x14ac:dyDescent="0.2">
      <c r="A107" s="42"/>
      <c r="B107" s="42"/>
      <c r="C107" s="42"/>
      <c r="D107" s="42"/>
      <c r="E107" s="42"/>
      <c r="F107" s="42"/>
      <c r="G107" s="42"/>
      <c r="H107" s="42"/>
      <c r="I107" s="42"/>
      <c r="J107" s="42"/>
      <c r="K107" s="42"/>
      <c r="O107" s="42"/>
      <c r="P107" s="42"/>
      <c r="Q107" s="42"/>
      <c r="R107" s="42"/>
      <c r="S107" s="42"/>
      <c r="X107" s="42"/>
      <c r="Y107" s="42"/>
      <c r="Z107" s="42"/>
      <c r="AA107" s="42"/>
      <c r="AB107" s="42"/>
      <c r="AC107" s="42"/>
      <c r="AD107" s="42"/>
      <c r="AE107" s="42"/>
      <c r="AF107" s="42"/>
      <c r="AG107" s="42"/>
      <c r="AH107" s="42"/>
      <c r="AI107" s="42"/>
      <c r="AJ107" s="42"/>
      <c r="AK107" s="42"/>
      <c r="AL107" s="42"/>
      <c r="AM107" s="42"/>
      <c r="AN107" s="42"/>
      <c r="AO107" s="42"/>
      <c r="AP107" s="42"/>
    </row>
    <row r="108" spans="1:42" ht="12.75" hidden="1" customHeight="1" x14ac:dyDescent="0.2">
      <c r="A108" s="42"/>
      <c r="B108" s="42"/>
      <c r="C108" s="42"/>
      <c r="D108" s="42"/>
      <c r="E108" s="42"/>
      <c r="F108" s="42"/>
      <c r="G108" s="42"/>
      <c r="H108" s="42"/>
      <c r="I108" s="42"/>
      <c r="J108" s="42"/>
      <c r="K108" s="42"/>
      <c r="O108" s="42"/>
      <c r="P108" s="42"/>
      <c r="Q108" s="42"/>
      <c r="R108" s="42"/>
      <c r="S108" s="42"/>
      <c r="X108" s="42"/>
      <c r="Y108" s="42"/>
      <c r="Z108" s="42"/>
      <c r="AA108" s="42"/>
      <c r="AB108" s="42"/>
      <c r="AC108" s="42"/>
      <c r="AD108" s="42"/>
      <c r="AE108" s="42"/>
      <c r="AF108" s="42"/>
      <c r="AG108" s="42"/>
      <c r="AH108" s="42"/>
      <c r="AI108" s="42"/>
      <c r="AJ108" s="42"/>
      <c r="AK108" s="42"/>
      <c r="AL108" s="42"/>
      <c r="AM108" s="42"/>
      <c r="AN108" s="42"/>
      <c r="AO108" s="42"/>
      <c r="AP108" s="42"/>
    </row>
    <row r="109" spans="1:42" ht="12.75" hidden="1" customHeight="1" x14ac:dyDescent="0.2">
      <c r="A109" s="42"/>
      <c r="B109" s="42"/>
      <c r="C109" s="42"/>
      <c r="D109" s="42"/>
      <c r="E109" s="42"/>
      <c r="F109" s="42"/>
      <c r="G109" s="42"/>
      <c r="H109" s="42"/>
      <c r="I109" s="42"/>
      <c r="J109" s="42"/>
      <c r="K109" s="42"/>
      <c r="O109" s="42"/>
      <c r="P109" s="42"/>
      <c r="Q109" s="42"/>
      <c r="R109" s="42"/>
      <c r="S109" s="42"/>
      <c r="X109" s="42"/>
      <c r="Y109" s="42"/>
      <c r="Z109" s="42"/>
      <c r="AA109" s="42"/>
      <c r="AB109" s="42"/>
      <c r="AC109" s="42"/>
      <c r="AD109" s="42"/>
      <c r="AE109" s="42"/>
      <c r="AF109" s="42"/>
      <c r="AG109" s="42"/>
      <c r="AH109" s="42"/>
      <c r="AI109" s="42"/>
      <c r="AJ109" s="42"/>
      <c r="AK109" s="42"/>
      <c r="AL109" s="42"/>
      <c r="AM109" s="42"/>
      <c r="AN109" s="42"/>
      <c r="AO109" s="42"/>
      <c r="AP109" s="42"/>
    </row>
    <row r="110" spans="1:42" ht="12.75" hidden="1" customHeight="1" x14ac:dyDescent="0.2">
      <c r="A110" s="42"/>
      <c r="B110" s="42"/>
      <c r="C110" s="42"/>
      <c r="D110" s="42"/>
      <c r="E110" s="42"/>
      <c r="F110" s="42"/>
      <c r="G110" s="42"/>
      <c r="H110" s="42"/>
      <c r="I110" s="42"/>
      <c r="J110" s="42"/>
      <c r="K110" s="42"/>
      <c r="O110" s="42"/>
      <c r="P110" s="42"/>
      <c r="Q110" s="42"/>
      <c r="R110" s="42"/>
      <c r="S110" s="42"/>
      <c r="X110" s="42"/>
      <c r="Y110" s="42"/>
      <c r="Z110" s="42"/>
      <c r="AA110" s="42"/>
      <c r="AB110" s="42"/>
      <c r="AC110" s="42"/>
      <c r="AD110" s="42"/>
      <c r="AE110" s="42"/>
      <c r="AF110" s="42"/>
      <c r="AG110" s="42"/>
      <c r="AH110" s="42"/>
      <c r="AI110" s="42"/>
      <c r="AJ110" s="42"/>
      <c r="AK110" s="42"/>
      <c r="AL110" s="42"/>
      <c r="AM110" s="42"/>
      <c r="AN110" s="42"/>
      <c r="AO110" s="42"/>
      <c r="AP110" s="42"/>
    </row>
    <row r="111" spans="1:42" ht="12.75" hidden="1" customHeight="1" x14ac:dyDescent="0.2">
      <c r="A111" s="42"/>
      <c r="B111" s="42"/>
      <c r="C111" s="42"/>
      <c r="D111" s="42"/>
      <c r="E111" s="42"/>
      <c r="F111" s="42"/>
      <c r="G111" s="42"/>
      <c r="H111" s="42"/>
      <c r="I111" s="42"/>
      <c r="J111" s="42"/>
      <c r="K111" s="42"/>
      <c r="O111" s="42"/>
      <c r="P111" s="42"/>
      <c r="Q111" s="42"/>
      <c r="R111" s="42"/>
      <c r="S111" s="42"/>
      <c r="X111" s="42"/>
      <c r="Y111" s="42"/>
      <c r="Z111" s="42"/>
      <c r="AA111" s="42"/>
      <c r="AB111" s="42"/>
      <c r="AC111" s="42"/>
      <c r="AD111" s="42"/>
      <c r="AE111" s="42"/>
      <c r="AF111" s="42"/>
      <c r="AG111" s="42"/>
      <c r="AH111" s="42"/>
      <c r="AI111" s="42"/>
      <c r="AJ111" s="42"/>
      <c r="AK111" s="42"/>
      <c r="AL111" s="42"/>
      <c r="AM111" s="42"/>
      <c r="AN111" s="42"/>
      <c r="AO111" s="42"/>
      <c r="AP111" s="42"/>
    </row>
    <row r="112" spans="1:42" ht="12.75" hidden="1" customHeight="1" x14ac:dyDescent="0.2">
      <c r="A112" s="42"/>
      <c r="B112" s="42"/>
      <c r="C112" s="42"/>
      <c r="D112" s="42"/>
      <c r="E112" s="42"/>
      <c r="F112" s="42"/>
      <c r="G112" s="42"/>
      <c r="H112" s="42"/>
      <c r="I112" s="42"/>
      <c r="J112" s="42"/>
      <c r="K112" s="42"/>
      <c r="O112" s="42"/>
      <c r="P112" s="42"/>
      <c r="Q112" s="42"/>
      <c r="R112" s="42"/>
      <c r="S112" s="42"/>
      <c r="X112" s="42"/>
      <c r="Y112" s="42"/>
      <c r="Z112" s="42"/>
      <c r="AA112" s="42"/>
      <c r="AB112" s="42"/>
      <c r="AC112" s="42"/>
      <c r="AD112" s="42"/>
      <c r="AE112" s="42"/>
      <c r="AF112" s="42"/>
      <c r="AG112" s="42"/>
      <c r="AH112" s="42"/>
      <c r="AI112" s="42"/>
      <c r="AJ112" s="42"/>
      <c r="AK112" s="42"/>
      <c r="AL112" s="42"/>
      <c r="AM112" s="42"/>
      <c r="AN112" s="42"/>
      <c r="AO112" s="42"/>
      <c r="AP112" s="42"/>
    </row>
    <row r="113" spans="1:42" ht="12.75" hidden="1" customHeight="1" x14ac:dyDescent="0.2">
      <c r="A113" s="42"/>
      <c r="B113" s="42"/>
      <c r="C113" s="42"/>
      <c r="D113" s="42"/>
      <c r="E113" s="42"/>
      <c r="F113" s="42"/>
      <c r="G113" s="42"/>
      <c r="H113" s="42"/>
      <c r="I113" s="42"/>
      <c r="J113" s="42"/>
      <c r="K113" s="42"/>
      <c r="O113" s="42"/>
      <c r="P113" s="42"/>
      <c r="Q113" s="42"/>
      <c r="R113" s="42"/>
      <c r="S113" s="42"/>
      <c r="X113" s="42"/>
      <c r="Y113" s="42"/>
      <c r="Z113" s="42"/>
      <c r="AA113" s="42"/>
      <c r="AB113" s="42"/>
      <c r="AC113" s="42"/>
      <c r="AD113" s="42"/>
      <c r="AE113" s="42"/>
      <c r="AF113" s="42"/>
      <c r="AG113" s="42"/>
      <c r="AH113" s="42"/>
      <c r="AI113" s="42"/>
      <c r="AJ113" s="42"/>
      <c r="AK113" s="42"/>
      <c r="AL113" s="42"/>
      <c r="AM113" s="42"/>
      <c r="AN113" s="42"/>
      <c r="AO113" s="42"/>
      <c r="AP113" s="42"/>
    </row>
    <row r="114" spans="1:42" ht="12.75" hidden="1" customHeight="1" x14ac:dyDescent="0.2">
      <c r="A114" s="42"/>
      <c r="B114" s="42"/>
      <c r="C114" s="42"/>
      <c r="D114" s="42"/>
      <c r="E114" s="42"/>
      <c r="F114" s="42"/>
      <c r="G114" s="42"/>
      <c r="H114" s="42"/>
      <c r="I114" s="42"/>
      <c r="J114" s="42"/>
      <c r="K114" s="42"/>
      <c r="O114" s="42"/>
      <c r="P114" s="42"/>
      <c r="Q114" s="42"/>
      <c r="R114" s="42"/>
      <c r="S114" s="42"/>
      <c r="X114" s="42"/>
      <c r="Y114" s="42"/>
      <c r="Z114" s="42"/>
      <c r="AA114" s="42"/>
      <c r="AB114" s="42"/>
      <c r="AC114" s="42"/>
      <c r="AD114" s="42"/>
      <c r="AE114" s="42"/>
      <c r="AF114" s="42"/>
      <c r="AG114" s="42"/>
      <c r="AH114" s="42"/>
      <c r="AI114" s="42"/>
      <c r="AJ114" s="42"/>
      <c r="AK114" s="42"/>
      <c r="AL114" s="42"/>
      <c r="AM114" s="42"/>
      <c r="AN114" s="42"/>
      <c r="AO114" s="42"/>
      <c r="AP114" s="42"/>
    </row>
    <row r="115" spans="1:42" ht="12.75" hidden="1" customHeight="1" x14ac:dyDescent="0.2">
      <c r="A115" s="42"/>
      <c r="B115" s="42"/>
      <c r="C115" s="42"/>
      <c r="D115" s="42"/>
      <c r="E115" s="42"/>
      <c r="F115" s="42"/>
      <c r="G115" s="42"/>
      <c r="H115" s="42"/>
      <c r="I115" s="42"/>
      <c r="J115" s="42"/>
      <c r="K115" s="42"/>
      <c r="O115" s="42"/>
      <c r="P115" s="42"/>
      <c r="Q115" s="42"/>
      <c r="R115" s="42"/>
      <c r="S115" s="42"/>
      <c r="X115" s="42"/>
      <c r="Y115" s="42"/>
      <c r="Z115" s="42"/>
      <c r="AA115" s="42"/>
      <c r="AB115" s="42"/>
      <c r="AC115" s="42"/>
      <c r="AD115" s="42"/>
      <c r="AE115" s="42"/>
      <c r="AF115" s="42"/>
      <c r="AG115" s="42"/>
      <c r="AH115" s="42"/>
      <c r="AI115" s="42"/>
      <c r="AJ115" s="42"/>
      <c r="AK115" s="42"/>
      <c r="AL115" s="42"/>
      <c r="AM115" s="42"/>
      <c r="AN115" s="42"/>
      <c r="AO115" s="42"/>
      <c r="AP115" s="42"/>
    </row>
    <row r="116" spans="1:42" ht="12.75" hidden="1" customHeight="1" x14ac:dyDescent="0.2">
      <c r="A116" s="42"/>
      <c r="B116" s="42"/>
      <c r="C116" s="42"/>
      <c r="D116" s="42"/>
      <c r="E116" s="42"/>
      <c r="F116" s="42"/>
      <c r="G116" s="42"/>
      <c r="H116" s="42"/>
      <c r="I116" s="42"/>
      <c r="J116" s="42"/>
      <c r="K116" s="42"/>
      <c r="O116" s="42"/>
      <c r="P116" s="42"/>
      <c r="Q116" s="42"/>
      <c r="R116" s="42"/>
      <c r="S116" s="42"/>
      <c r="X116" s="42"/>
      <c r="Y116" s="42"/>
      <c r="Z116" s="42"/>
      <c r="AA116" s="42"/>
      <c r="AB116" s="42"/>
      <c r="AC116" s="42"/>
      <c r="AD116" s="42"/>
      <c r="AE116" s="42"/>
      <c r="AF116" s="42"/>
      <c r="AG116" s="42"/>
      <c r="AH116" s="42"/>
      <c r="AI116" s="42"/>
      <c r="AJ116" s="42"/>
      <c r="AK116" s="42"/>
      <c r="AL116" s="42"/>
      <c r="AM116" s="42"/>
      <c r="AN116" s="42"/>
      <c r="AO116" s="42"/>
      <c r="AP116" s="42"/>
    </row>
    <row r="117" spans="1:42" ht="12.75" hidden="1" customHeight="1" x14ac:dyDescent="0.2">
      <c r="A117" s="42"/>
      <c r="B117" s="42"/>
      <c r="C117" s="42"/>
      <c r="D117" s="42"/>
      <c r="E117" s="42"/>
      <c r="F117" s="42"/>
      <c r="G117" s="42"/>
      <c r="H117" s="42"/>
      <c r="I117" s="42"/>
      <c r="J117" s="42"/>
      <c r="K117" s="42"/>
      <c r="O117" s="42"/>
      <c r="P117" s="42"/>
      <c r="Q117" s="42"/>
      <c r="R117" s="42"/>
      <c r="S117" s="42"/>
      <c r="X117" s="42"/>
      <c r="Y117" s="42"/>
      <c r="Z117" s="42"/>
      <c r="AA117" s="42"/>
      <c r="AB117" s="42"/>
      <c r="AC117" s="42"/>
      <c r="AD117" s="42"/>
      <c r="AE117" s="42"/>
      <c r="AF117" s="42"/>
      <c r="AG117" s="42"/>
      <c r="AH117" s="42"/>
      <c r="AI117" s="42"/>
      <c r="AJ117" s="42"/>
      <c r="AK117" s="42"/>
      <c r="AL117" s="42"/>
      <c r="AM117" s="42"/>
      <c r="AN117" s="42"/>
      <c r="AO117" s="42"/>
      <c r="AP117" s="42"/>
    </row>
    <row r="118" spans="1:42" ht="12.75" hidden="1" customHeight="1" x14ac:dyDescent="0.2">
      <c r="A118" s="42"/>
      <c r="B118" s="42"/>
      <c r="C118" s="42"/>
      <c r="D118" s="42"/>
      <c r="E118" s="42"/>
      <c r="F118" s="42"/>
      <c r="G118" s="42"/>
      <c r="H118" s="42"/>
      <c r="I118" s="42"/>
      <c r="J118" s="42"/>
      <c r="K118" s="42"/>
      <c r="O118" s="42"/>
      <c r="P118" s="42"/>
      <c r="Q118" s="42"/>
      <c r="R118" s="42"/>
      <c r="S118" s="42"/>
      <c r="X118" s="42"/>
      <c r="Y118" s="42"/>
      <c r="Z118" s="42"/>
      <c r="AA118" s="42"/>
      <c r="AB118" s="42"/>
      <c r="AC118" s="42"/>
      <c r="AD118" s="42"/>
      <c r="AE118" s="42"/>
      <c r="AF118" s="42"/>
      <c r="AG118" s="42"/>
      <c r="AH118" s="42"/>
      <c r="AI118" s="42"/>
      <c r="AJ118" s="42"/>
      <c r="AK118" s="42"/>
      <c r="AL118" s="42"/>
      <c r="AM118" s="42"/>
      <c r="AN118" s="42"/>
      <c r="AO118" s="42"/>
      <c r="AP118" s="42"/>
    </row>
    <row r="119" spans="1:42" ht="12.75" hidden="1" customHeight="1" x14ac:dyDescent="0.2">
      <c r="A119" s="42"/>
      <c r="B119" s="42"/>
      <c r="C119" s="42"/>
      <c r="D119" s="42"/>
      <c r="E119" s="42"/>
      <c r="F119" s="42"/>
      <c r="G119" s="42"/>
      <c r="H119" s="42"/>
      <c r="I119" s="42"/>
      <c r="J119" s="42"/>
      <c r="K119" s="42"/>
      <c r="O119" s="42"/>
      <c r="P119" s="42"/>
      <c r="Q119" s="42"/>
      <c r="R119" s="42"/>
      <c r="S119" s="42"/>
      <c r="X119" s="42"/>
      <c r="Y119" s="42"/>
      <c r="Z119" s="42"/>
      <c r="AA119" s="42"/>
      <c r="AB119" s="42"/>
      <c r="AC119" s="42"/>
      <c r="AD119" s="42"/>
      <c r="AE119" s="42"/>
      <c r="AF119" s="42"/>
      <c r="AG119" s="42"/>
      <c r="AH119" s="42"/>
      <c r="AI119" s="42"/>
      <c r="AJ119" s="42"/>
      <c r="AK119" s="42"/>
      <c r="AL119" s="42"/>
      <c r="AM119" s="42"/>
      <c r="AN119" s="42"/>
      <c r="AO119" s="42"/>
      <c r="AP119" s="42"/>
    </row>
    <row r="120" spans="1:42" ht="12.75" hidden="1" customHeight="1" x14ac:dyDescent="0.2">
      <c r="A120" s="42"/>
      <c r="B120" s="42"/>
      <c r="C120" s="42"/>
      <c r="D120" s="42"/>
      <c r="E120" s="42"/>
      <c r="F120" s="42"/>
      <c r="G120" s="42"/>
      <c r="H120" s="42"/>
      <c r="I120" s="42"/>
      <c r="J120" s="42"/>
      <c r="K120" s="42"/>
      <c r="O120" s="42"/>
      <c r="P120" s="42"/>
      <c r="Q120" s="42"/>
      <c r="R120" s="42"/>
      <c r="S120" s="42"/>
      <c r="X120" s="42"/>
      <c r="Y120" s="42"/>
      <c r="Z120" s="42"/>
      <c r="AA120" s="42"/>
      <c r="AB120" s="42"/>
      <c r="AC120" s="42"/>
      <c r="AD120" s="42"/>
      <c r="AE120" s="42"/>
      <c r="AF120" s="42"/>
      <c r="AG120" s="42"/>
      <c r="AH120" s="42"/>
      <c r="AI120" s="42"/>
      <c r="AJ120" s="42"/>
      <c r="AK120" s="42"/>
      <c r="AL120" s="42"/>
      <c r="AM120" s="42"/>
      <c r="AN120" s="42"/>
      <c r="AO120" s="42"/>
      <c r="AP120" s="42"/>
    </row>
    <row r="121" spans="1:42" ht="12.75" hidden="1" customHeight="1" x14ac:dyDescent="0.2">
      <c r="A121" s="42"/>
      <c r="B121" s="42"/>
      <c r="C121" s="42"/>
      <c r="D121" s="42"/>
      <c r="E121" s="42"/>
      <c r="F121" s="42"/>
      <c r="G121" s="42"/>
      <c r="H121" s="42"/>
      <c r="I121" s="42"/>
      <c r="J121" s="42"/>
      <c r="K121" s="42"/>
      <c r="O121" s="42"/>
      <c r="P121" s="42"/>
      <c r="Q121" s="42"/>
      <c r="R121" s="42"/>
      <c r="S121" s="42"/>
      <c r="X121" s="42"/>
      <c r="Y121" s="42"/>
      <c r="Z121" s="42"/>
      <c r="AA121" s="42"/>
      <c r="AB121" s="42"/>
      <c r="AC121" s="42"/>
      <c r="AD121" s="42"/>
      <c r="AE121" s="42"/>
      <c r="AF121" s="42"/>
      <c r="AG121" s="42"/>
      <c r="AH121" s="42"/>
      <c r="AI121" s="42"/>
      <c r="AJ121" s="42"/>
      <c r="AK121" s="42"/>
      <c r="AL121" s="42"/>
      <c r="AM121" s="42"/>
      <c r="AN121" s="42"/>
      <c r="AO121" s="42"/>
      <c r="AP121" s="42"/>
    </row>
    <row r="122" spans="1:42" ht="12.75" hidden="1" customHeight="1" x14ac:dyDescent="0.2">
      <c r="A122" s="42"/>
      <c r="B122" s="42"/>
      <c r="C122" s="42"/>
      <c r="D122" s="42"/>
      <c r="E122" s="42"/>
      <c r="F122" s="42"/>
      <c r="G122" s="42"/>
      <c r="H122" s="42"/>
      <c r="I122" s="42"/>
      <c r="J122" s="42"/>
      <c r="K122" s="42"/>
      <c r="O122" s="42"/>
      <c r="P122" s="42"/>
      <c r="Q122" s="42"/>
      <c r="R122" s="42"/>
      <c r="S122" s="42"/>
      <c r="X122" s="42"/>
      <c r="Y122" s="42"/>
      <c r="Z122" s="42"/>
      <c r="AA122" s="42"/>
      <c r="AB122" s="42"/>
      <c r="AC122" s="42"/>
      <c r="AD122" s="42"/>
      <c r="AE122" s="42"/>
      <c r="AF122" s="42"/>
      <c r="AG122" s="42"/>
      <c r="AH122" s="42"/>
      <c r="AI122" s="42"/>
      <c r="AJ122" s="42"/>
      <c r="AK122" s="42"/>
      <c r="AL122" s="42"/>
      <c r="AM122" s="42"/>
      <c r="AN122" s="42"/>
      <c r="AO122" s="42"/>
      <c r="AP122" s="42"/>
    </row>
    <row r="123" spans="1:42" ht="12.75" hidden="1" customHeight="1" x14ac:dyDescent="0.2">
      <c r="A123" s="42"/>
      <c r="B123" s="42"/>
      <c r="C123" s="42"/>
      <c r="D123" s="42"/>
      <c r="E123" s="42"/>
      <c r="F123" s="42"/>
      <c r="G123" s="42"/>
      <c r="H123" s="42"/>
      <c r="I123" s="42"/>
      <c r="J123" s="42"/>
      <c r="K123" s="42"/>
      <c r="O123" s="42"/>
      <c r="P123" s="42"/>
      <c r="Q123" s="42"/>
      <c r="R123" s="42"/>
      <c r="S123" s="42"/>
      <c r="X123" s="42"/>
      <c r="Y123" s="42"/>
      <c r="Z123" s="42"/>
      <c r="AA123" s="42"/>
      <c r="AB123" s="42"/>
      <c r="AC123" s="42"/>
      <c r="AD123" s="42"/>
      <c r="AE123" s="42"/>
      <c r="AF123" s="42"/>
      <c r="AG123" s="42"/>
      <c r="AH123" s="42"/>
      <c r="AI123" s="42"/>
      <c r="AJ123" s="42"/>
      <c r="AK123" s="42"/>
      <c r="AL123" s="42"/>
      <c r="AM123" s="42"/>
      <c r="AN123" s="42"/>
      <c r="AO123" s="42"/>
      <c r="AP123" s="42"/>
    </row>
    <row r="124" spans="1:42" ht="12.75" hidden="1" customHeight="1" x14ac:dyDescent="0.2">
      <c r="A124" s="42"/>
      <c r="B124" s="42"/>
      <c r="C124" s="42"/>
      <c r="D124" s="42"/>
      <c r="E124" s="42"/>
      <c r="F124" s="42"/>
      <c r="G124" s="42"/>
      <c r="H124" s="42"/>
      <c r="I124" s="42"/>
      <c r="J124" s="42"/>
      <c r="K124" s="42"/>
      <c r="O124" s="42"/>
      <c r="P124" s="42"/>
      <c r="Q124" s="42"/>
      <c r="R124" s="42"/>
      <c r="S124" s="42"/>
      <c r="X124" s="42"/>
      <c r="Y124" s="42"/>
      <c r="Z124" s="42"/>
      <c r="AA124" s="42"/>
      <c r="AB124" s="42"/>
      <c r="AC124" s="42"/>
      <c r="AD124" s="42"/>
      <c r="AE124" s="42"/>
      <c r="AF124" s="42"/>
      <c r="AG124" s="42"/>
      <c r="AH124" s="42"/>
      <c r="AI124" s="42"/>
      <c r="AJ124" s="42"/>
      <c r="AK124" s="42"/>
      <c r="AL124" s="42"/>
      <c r="AM124" s="42"/>
      <c r="AN124" s="42"/>
      <c r="AO124" s="42"/>
      <c r="AP124" s="42"/>
    </row>
    <row r="125" spans="1:42" ht="12.75" hidden="1" customHeight="1" x14ac:dyDescent="0.2">
      <c r="A125" s="42"/>
      <c r="B125" s="42"/>
      <c r="C125" s="42"/>
      <c r="D125" s="42"/>
      <c r="E125" s="42"/>
      <c r="F125" s="42"/>
      <c r="G125" s="42"/>
      <c r="H125" s="42"/>
      <c r="I125" s="42"/>
      <c r="J125" s="42"/>
      <c r="K125" s="42"/>
      <c r="O125" s="42"/>
      <c r="P125" s="42"/>
      <c r="Q125" s="42"/>
      <c r="R125" s="42"/>
      <c r="S125" s="42"/>
      <c r="X125" s="42"/>
      <c r="Y125" s="42"/>
      <c r="Z125" s="42"/>
      <c r="AA125" s="42"/>
      <c r="AB125" s="42"/>
      <c r="AC125" s="42"/>
      <c r="AD125" s="42"/>
      <c r="AE125" s="42"/>
      <c r="AF125" s="42"/>
      <c r="AG125" s="42"/>
      <c r="AH125" s="42"/>
      <c r="AI125" s="42"/>
      <c r="AJ125" s="42"/>
      <c r="AK125" s="42"/>
      <c r="AL125" s="42"/>
      <c r="AM125" s="42"/>
      <c r="AN125" s="42"/>
      <c r="AO125" s="42"/>
      <c r="AP125" s="42"/>
    </row>
    <row r="126" spans="1:42" ht="12.75" hidden="1" customHeight="1" x14ac:dyDescent="0.2">
      <c r="A126" s="42"/>
      <c r="B126" s="42"/>
      <c r="C126" s="42"/>
      <c r="D126" s="42"/>
      <c r="E126" s="42"/>
      <c r="F126" s="42"/>
      <c r="G126" s="42"/>
      <c r="H126" s="42"/>
      <c r="I126" s="42"/>
      <c r="J126" s="42"/>
      <c r="K126" s="42"/>
      <c r="O126" s="42"/>
      <c r="P126" s="42"/>
      <c r="Q126" s="42"/>
      <c r="R126" s="42"/>
      <c r="S126" s="42"/>
      <c r="X126" s="42"/>
      <c r="Y126" s="42"/>
      <c r="Z126" s="42"/>
      <c r="AA126" s="42"/>
      <c r="AB126" s="42"/>
      <c r="AC126" s="42"/>
      <c r="AD126" s="42"/>
      <c r="AE126" s="42"/>
      <c r="AF126" s="42"/>
      <c r="AG126" s="42"/>
      <c r="AH126" s="42"/>
      <c r="AI126" s="42"/>
      <c r="AJ126" s="42"/>
      <c r="AK126" s="42"/>
      <c r="AL126" s="42"/>
      <c r="AM126" s="42"/>
      <c r="AN126" s="42"/>
      <c r="AO126" s="42"/>
      <c r="AP126" s="42"/>
    </row>
    <row r="127" spans="1:42" ht="12.75" hidden="1" customHeight="1" x14ac:dyDescent="0.2">
      <c r="A127" s="42"/>
      <c r="B127" s="42"/>
      <c r="C127" s="42"/>
      <c r="D127" s="42"/>
      <c r="E127" s="42"/>
      <c r="F127" s="42"/>
      <c r="G127" s="42"/>
      <c r="H127" s="42"/>
      <c r="I127" s="42"/>
      <c r="J127" s="42"/>
      <c r="K127" s="42"/>
      <c r="O127" s="42"/>
      <c r="P127" s="42"/>
      <c r="Q127" s="42"/>
      <c r="R127" s="42"/>
      <c r="S127" s="42"/>
      <c r="X127" s="42"/>
      <c r="Y127" s="42"/>
      <c r="Z127" s="42"/>
      <c r="AA127" s="42"/>
      <c r="AB127" s="42"/>
      <c r="AC127" s="42"/>
      <c r="AD127" s="42"/>
      <c r="AE127" s="42"/>
      <c r="AF127" s="42"/>
      <c r="AG127" s="42"/>
      <c r="AH127" s="42"/>
      <c r="AI127" s="42"/>
      <c r="AJ127" s="42"/>
      <c r="AK127" s="42"/>
      <c r="AL127" s="42"/>
      <c r="AM127" s="42"/>
      <c r="AN127" s="42"/>
      <c r="AO127" s="42"/>
      <c r="AP127" s="42"/>
    </row>
    <row r="128" spans="1:42" ht="12.75" hidden="1" customHeight="1" x14ac:dyDescent="0.2">
      <c r="A128" s="42"/>
      <c r="B128" s="42"/>
      <c r="C128" s="42"/>
      <c r="D128" s="42"/>
      <c r="E128" s="42"/>
      <c r="F128" s="42"/>
      <c r="G128" s="42"/>
      <c r="H128" s="42"/>
      <c r="I128" s="42"/>
      <c r="J128" s="42"/>
      <c r="K128" s="42"/>
      <c r="O128" s="42"/>
      <c r="P128" s="42"/>
      <c r="Q128" s="42"/>
      <c r="R128" s="42"/>
      <c r="S128" s="42"/>
      <c r="X128" s="42"/>
      <c r="Y128" s="42"/>
      <c r="Z128" s="42"/>
      <c r="AA128" s="42"/>
      <c r="AB128" s="42"/>
      <c r="AC128" s="42"/>
      <c r="AD128" s="42"/>
      <c r="AE128" s="42"/>
      <c r="AF128" s="42"/>
      <c r="AG128" s="42"/>
      <c r="AH128" s="42"/>
      <c r="AI128" s="42"/>
      <c r="AJ128" s="42"/>
      <c r="AK128" s="42"/>
      <c r="AL128" s="42"/>
      <c r="AM128" s="42"/>
      <c r="AN128" s="42"/>
      <c r="AO128" s="42"/>
      <c r="AP128" s="42"/>
    </row>
    <row r="129" spans="1:42" ht="12.75" hidden="1" customHeight="1" x14ac:dyDescent="0.2">
      <c r="A129" s="42"/>
      <c r="B129" s="42"/>
      <c r="C129" s="42"/>
      <c r="D129" s="42"/>
      <c r="E129" s="42"/>
      <c r="F129" s="42"/>
      <c r="G129" s="42"/>
      <c r="H129" s="42"/>
      <c r="I129" s="42"/>
      <c r="J129" s="42"/>
      <c r="K129" s="42"/>
      <c r="O129" s="42"/>
      <c r="P129" s="42"/>
      <c r="Q129" s="42"/>
      <c r="R129" s="42"/>
      <c r="S129" s="42"/>
      <c r="X129" s="42"/>
      <c r="Y129" s="42"/>
      <c r="Z129" s="42"/>
      <c r="AA129" s="42"/>
      <c r="AB129" s="42"/>
      <c r="AC129" s="42"/>
      <c r="AD129" s="42"/>
      <c r="AE129" s="42"/>
      <c r="AF129" s="42"/>
      <c r="AG129" s="42"/>
      <c r="AH129" s="42"/>
      <c r="AI129" s="42"/>
      <c r="AJ129" s="42"/>
      <c r="AK129" s="42"/>
      <c r="AL129" s="42"/>
      <c r="AM129" s="42"/>
      <c r="AN129" s="42"/>
      <c r="AO129" s="42"/>
      <c r="AP129" s="42"/>
    </row>
    <row r="130" spans="1:42" ht="12.75" hidden="1" customHeight="1" x14ac:dyDescent="0.2">
      <c r="A130" s="42"/>
      <c r="B130" s="42"/>
      <c r="C130" s="42"/>
      <c r="D130" s="42"/>
      <c r="E130" s="42"/>
      <c r="F130" s="42"/>
      <c r="G130" s="42"/>
      <c r="H130" s="42"/>
      <c r="I130" s="42"/>
      <c r="J130" s="42"/>
      <c r="K130" s="42"/>
      <c r="O130" s="42"/>
      <c r="P130" s="42"/>
      <c r="Q130" s="42"/>
      <c r="R130" s="42"/>
      <c r="S130" s="42"/>
      <c r="X130" s="42"/>
      <c r="Y130" s="42"/>
      <c r="Z130" s="42"/>
      <c r="AA130" s="42"/>
      <c r="AB130" s="42"/>
      <c r="AC130" s="42"/>
      <c r="AD130" s="42"/>
      <c r="AE130" s="42"/>
      <c r="AF130" s="42"/>
      <c r="AG130" s="42"/>
      <c r="AH130" s="42"/>
      <c r="AI130" s="42"/>
      <c r="AJ130" s="42"/>
      <c r="AK130" s="42"/>
      <c r="AL130" s="42"/>
      <c r="AM130" s="42"/>
      <c r="AN130" s="42"/>
      <c r="AO130" s="42"/>
      <c r="AP130" s="42"/>
    </row>
    <row r="131" spans="1:42" ht="12.75" hidden="1" customHeight="1" x14ac:dyDescent="0.2">
      <c r="A131" s="42"/>
      <c r="B131" s="42"/>
      <c r="C131" s="42"/>
      <c r="D131" s="42"/>
      <c r="E131" s="42"/>
      <c r="F131" s="42"/>
      <c r="G131" s="42"/>
      <c r="H131" s="42"/>
      <c r="I131" s="42"/>
      <c r="J131" s="42"/>
      <c r="K131" s="42"/>
      <c r="O131" s="42"/>
      <c r="P131" s="42"/>
      <c r="Q131" s="42"/>
      <c r="R131" s="42"/>
      <c r="S131" s="42"/>
      <c r="X131" s="42"/>
      <c r="Y131" s="42"/>
      <c r="Z131" s="42"/>
      <c r="AA131" s="42"/>
      <c r="AB131" s="42"/>
      <c r="AC131" s="42"/>
      <c r="AD131" s="42"/>
      <c r="AE131" s="42"/>
      <c r="AF131" s="42"/>
      <c r="AG131" s="42"/>
      <c r="AH131" s="42"/>
      <c r="AI131" s="42"/>
      <c r="AJ131" s="42"/>
      <c r="AK131" s="42"/>
      <c r="AL131" s="42"/>
      <c r="AM131" s="42"/>
      <c r="AN131" s="42"/>
      <c r="AO131" s="42"/>
      <c r="AP131" s="42"/>
    </row>
    <row r="132" spans="1:42" ht="12.75" hidden="1" customHeight="1" x14ac:dyDescent="0.2">
      <c r="A132" s="42"/>
      <c r="B132" s="42"/>
      <c r="C132" s="42"/>
      <c r="D132" s="42"/>
      <c r="E132" s="42"/>
      <c r="F132" s="42"/>
      <c r="G132" s="42"/>
      <c r="H132" s="42"/>
      <c r="I132" s="42"/>
      <c r="J132" s="42"/>
      <c r="K132" s="42"/>
      <c r="O132" s="42"/>
      <c r="P132" s="42"/>
      <c r="Q132" s="42"/>
      <c r="R132" s="42"/>
      <c r="S132" s="42"/>
      <c r="X132" s="42"/>
      <c r="Y132" s="42"/>
      <c r="Z132" s="42"/>
      <c r="AA132" s="42"/>
      <c r="AB132" s="42"/>
      <c r="AC132" s="42"/>
      <c r="AD132" s="42"/>
      <c r="AE132" s="42"/>
      <c r="AF132" s="42"/>
      <c r="AG132" s="42"/>
      <c r="AH132" s="42"/>
      <c r="AI132" s="42"/>
      <c r="AJ132" s="42"/>
      <c r="AK132" s="42"/>
      <c r="AL132" s="42"/>
      <c r="AM132" s="42"/>
      <c r="AN132" s="42"/>
      <c r="AO132" s="42"/>
      <c r="AP132" s="42"/>
    </row>
    <row r="133" spans="1:42" ht="12.75" hidden="1" customHeight="1" x14ac:dyDescent="0.2">
      <c r="A133" s="42"/>
      <c r="B133" s="42"/>
      <c r="C133" s="42"/>
      <c r="D133" s="42"/>
      <c r="E133" s="42"/>
      <c r="F133" s="42"/>
      <c r="G133" s="42"/>
      <c r="H133" s="42"/>
      <c r="I133" s="42"/>
      <c r="J133" s="42"/>
      <c r="K133" s="42"/>
      <c r="O133" s="42"/>
      <c r="P133" s="42"/>
      <c r="Q133" s="42"/>
      <c r="R133" s="42"/>
      <c r="S133" s="42"/>
      <c r="X133" s="42"/>
      <c r="Y133" s="42"/>
      <c r="Z133" s="42"/>
      <c r="AA133" s="42"/>
      <c r="AB133" s="42"/>
      <c r="AC133" s="42"/>
      <c r="AD133" s="42"/>
      <c r="AE133" s="42"/>
      <c r="AF133" s="42"/>
      <c r="AG133" s="42"/>
      <c r="AH133" s="42"/>
      <c r="AI133" s="42"/>
      <c r="AJ133" s="42"/>
      <c r="AK133" s="42"/>
      <c r="AL133" s="42"/>
      <c r="AM133" s="42"/>
      <c r="AN133" s="42"/>
      <c r="AO133" s="42"/>
      <c r="AP133" s="42"/>
    </row>
    <row r="134" spans="1:42" ht="12.75" hidden="1" customHeight="1" x14ac:dyDescent="0.2">
      <c r="A134" s="42"/>
      <c r="B134" s="42"/>
      <c r="C134" s="42"/>
      <c r="D134" s="42"/>
      <c r="E134" s="42"/>
      <c r="F134" s="42"/>
      <c r="G134" s="42"/>
      <c r="H134" s="42"/>
      <c r="I134" s="42"/>
      <c r="J134" s="42"/>
      <c r="K134" s="42"/>
      <c r="O134" s="42"/>
      <c r="P134" s="42"/>
      <c r="Q134" s="42"/>
      <c r="R134" s="42"/>
      <c r="S134" s="42"/>
      <c r="X134" s="42"/>
      <c r="Y134" s="42"/>
      <c r="Z134" s="42"/>
      <c r="AA134" s="42"/>
      <c r="AB134" s="42"/>
      <c r="AC134" s="42"/>
      <c r="AD134" s="42"/>
      <c r="AE134" s="42"/>
      <c r="AF134" s="42"/>
      <c r="AG134" s="42"/>
      <c r="AH134" s="42"/>
      <c r="AI134" s="42"/>
      <c r="AJ134" s="42"/>
      <c r="AK134" s="42"/>
      <c r="AL134" s="42"/>
      <c r="AM134" s="42"/>
      <c r="AN134" s="42"/>
      <c r="AO134" s="42"/>
      <c r="AP134" s="42"/>
    </row>
    <row r="135" spans="1:42" ht="12.75" hidden="1" customHeight="1" x14ac:dyDescent="0.2">
      <c r="A135" s="42"/>
      <c r="B135" s="42"/>
      <c r="C135" s="42"/>
      <c r="D135" s="42"/>
      <c r="E135" s="42"/>
      <c r="F135" s="42"/>
      <c r="G135" s="42"/>
      <c r="H135" s="42"/>
      <c r="I135" s="42"/>
      <c r="J135" s="42"/>
      <c r="K135" s="42"/>
      <c r="O135" s="42"/>
      <c r="P135" s="42"/>
      <c r="Q135" s="42"/>
      <c r="R135" s="42"/>
      <c r="S135" s="42"/>
      <c r="X135" s="42"/>
      <c r="Y135" s="42"/>
      <c r="Z135" s="42"/>
      <c r="AA135" s="42"/>
      <c r="AB135" s="42"/>
      <c r="AC135" s="42"/>
      <c r="AD135" s="42"/>
      <c r="AE135" s="42"/>
      <c r="AF135" s="42"/>
      <c r="AG135" s="42"/>
      <c r="AH135" s="42"/>
      <c r="AI135" s="42"/>
      <c r="AJ135" s="42"/>
      <c r="AK135" s="42"/>
      <c r="AL135" s="42"/>
      <c r="AM135" s="42"/>
      <c r="AN135" s="42"/>
      <c r="AO135" s="42"/>
      <c r="AP135" s="42"/>
    </row>
    <row r="136" spans="1:42" ht="12.75" hidden="1" customHeight="1" x14ac:dyDescent="0.2">
      <c r="A136" s="42"/>
      <c r="B136" s="42"/>
      <c r="C136" s="42"/>
      <c r="D136" s="42"/>
      <c r="E136" s="42"/>
      <c r="F136" s="42"/>
      <c r="G136" s="42"/>
      <c r="H136" s="42"/>
      <c r="I136" s="42"/>
      <c r="J136" s="42"/>
      <c r="K136" s="42"/>
      <c r="O136" s="42"/>
      <c r="P136" s="42"/>
      <c r="Q136" s="42"/>
      <c r="R136" s="42"/>
      <c r="S136" s="42"/>
      <c r="X136" s="42"/>
      <c r="Y136" s="42"/>
      <c r="Z136" s="42"/>
      <c r="AA136" s="42"/>
      <c r="AB136" s="42"/>
      <c r="AC136" s="42"/>
      <c r="AD136" s="42"/>
      <c r="AE136" s="42"/>
      <c r="AF136" s="42"/>
      <c r="AG136" s="42"/>
      <c r="AH136" s="42"/>
      <c r="AI136" s="42"/>
      <c r="AJ136" s="42"/>
      <c r="AK136" s="42"/>
      <c r="AL136" s="42"/>
      <c r="AM136" s="42"/>
      <c r="AN136" s="42"/>
      <c r="AO136" s="42"/>
      <c r="AP136" s="42"/>
    </row>
    <row r="137" spans="1:42" ht="12.75" hidden="1" customHeight="1" x14ac:dyDescent="0.2">
      <c r="A137" s="42"/>
      <c r="B137" s="42"/>
      <c r="C137" s="42"/>
      <c r="D137" s="42"/>
      <c r="E137" s="42"/>
      <c r="F137" s="42"/>
      <c r="G137" s="42"/>
      <c r="H137" s="42"/>
      <c r="I137" s="42"/>
      <c r="J137" s="42"/>
      <c r="K137" s="42"/>
      <c r="O137" s="42"/>
      <c r="P137" s="42"/>
      <c r="Q137" s="42"/>
      <c r="R137" s="42"/>
      <c r="S137" s="42"/>
      <c r="X137" s="42"/>
      <c r="Y137" s="42"/>
      <c r="Z137" s="42"/>
      <c r="AA137" s="42"/>
      <c r="AB137" s="42"/>
      <c r="AC137" s="42"/>
      <c r="AD137" s="42"/>
      <c r="AE137" s="42"/>
      <c r="AF137" s="42"/>
      <c r="AG137" s="42"/>
      <c r="AH137" s="42"/>
      <c r="AI137" s="42"/>
      <c r="AJ137" s="42"/>
      <c r="AK137" s="42"/>
      <c r="AL137" s="42"/>
      <c r="AM137" s="42"/>
      <c r="AN137" s="42"/>
      <c r="AO137" s="42"/>
      <c r="AP137" s="42"/>
    </row>
    <row r="138" spans="1:42" ht="12.75" hidden="1" customHeight="1" x14ac:dyDescent="0.2">
      <c r="A138" s="42"/>
      <c r="B138" s="42"/>
      <c r="C138" s="42"/>
      <c r="D138" s="42"/>
      <c r="E138" s="42"/>
      <c r="F138" s="42"/>
      <c r="G138" s="42"/>
      <c r="H138" s="42"/>
      <c r="I138" s="42"/>
      <c r="J138" s="42"/>
      <c r="K138" s="42"/>
      <c r="O138" s="42"/>
      <c r="P138" s="42"/>
      <c r="Q138" s="42"/>
      <c r="R138" s="42"/>
      <c r="S138" s="42"/>
      <c r="X138" s="42"/>
      <c r="Y138" s="42"/>
      <c r="Z138" s="42"/>
      <c r="AA138" s="42"/>
      <c r="AB138" s="42"/>
      <c r="AC138" s="42"/>
      <c r="AD138" s="42"/>
      <c r="AE138" s="42"/>
      <c r="AF138" s="42"/>
      <c r="AG138" s="42"/>
      <c r="AH138" s="42"/>
      <c r="AI138" s="42"/>
      <c r="AJ138" s="42"/>
      <c r="AK138" s="42"/>
      <c r="AL138" s="42"/>
      <c r="AM138" s="42"/>
      <c r="AN138" s="42"/>
      <c r="AO138" s="42"/>
      <c r="AP138" s="42"/>
    </row>
    <row r="139" spans="1:42" ht="12.75" hidden="1" customHeight="1" x14ac:dyDescent="0.2">
      <c r="A139" s="42"/>
      <c r="B139" s="42"/>
      <c r="C139" s="42"/>
      <c r="D139" s="42"/>
      <c r="E139" s="42"/>
      <c r="F139" s="42"/>
      <c r="G139" s="42"/>
      <c r="H139" s="42"/>
      <c r="I139" s="42"/>
      <c r="J139" s="42"/>
      <c r="K139" s="42"/>
      <c r="O139" s="42"/>
      <c r="P139" s="42"/>
      <c r="Q139" s="42"/>
      <c r="R139" s="42"/>
      <c r="S139" s="42"/>
      <c r="X139" s="42"/>
      <c r="Y139" s="42"/>
      <c r="Z139" s="42"/>
      <c r="AA139" s="42"/>
      <c r="AB139" s="42"/>
      <c r="AC139" s="42"/>
      <c r="AD139" s="42"/>
      <c r="AE139" s="42"/>
      <c r="AF139" s="42"/>
      <c r="AG139" s="42"/>
      <c r="AH139" s="42"/>
      <c r="AI139" s="42"/>
      <c r="AJ139" s="42"/>
      <c r="AK139" s="42"/>
      <c r="AL139" s="42"/>
      <c r="AM139" s="42"/>
      <c r="AN139" s="42"/>
      <c r="AO139" s="42"/>
      <c r="AP139" s="42"/>
    </row>
    <row r="140" spans="1:42" ht="12.75" hidden="1" customHeight="1" x14ac:dyDescent="0.2">
      <c r="A140" s="42"/>
      <c r="B140" s="42"/>
      <c r="C140" s="42"/>
      <c r="D140" s="42"/>
      <c r="E140" s="42"/>
      <c r="F140" s="42"/>
      <c r="G140" s="42"/>
      <c r="H140" s="42"/>
      <c r="I140" s="42"/>
      <c r="J140" s="42"/>
      <c r="K140" s="42"/>
      <c r="O140" s="42"/>
      <c r="P140" s="42"/>
      <c r="Q140" s="42"/>
      <c r="R140" s="42"/>
      <c r="S140" s="42"/>
      <c r="X140" s="42"/>
      <c r="Y140" s="42"/>
      <c r="Z140" s="42"/>
      <c r="AA140" s="42"/>
      <c r="AB140" s="42"/>
      <c r="AC140" s="42"/>
      <c r="AD140" s="42"/>
      <c r="AE140" s="42"/>
      <c r="AF140" s="42"/>
      <c r="AG140" s="42"/>
      <c r="AH140" s="42"/>
      <c r="AI140" s="42"/>
      <c r="AJ140" s="42"/>
      <c r="AK140" s="42"/>
      <c r="AL140" s="42"/>
      <c r="AM140" s="42"/>
      <c r="AN140" s="42"/>
      <c r="AO140" s="42"/>
      <c r="AP140" s="42"/>
    </row>
    <row r="141" spans="1:42" ht="12.75" hidden="1" customHeight="1" x14ac:dyDescent="0.2">
      <c r="A141" s="42"/>
      <c r="B141" s="42"/>
      <c r="C141" s="42"/>
      <c r="D141" s="42"/>
      <c r="E141" s="42"/>
      <c r="F141" s="42"/>
      <c r="G141" s="42"/>
      <c r="H141" s="42"/>
      <c r="I141" s="42"/>
      <c r="J141" s="42"/>
      <c r="K141" s="42"/>
      <c r="O141" s="42"/>
      <c r="P141" s="42"/>
      <c r="Q141" s="42"/>
      <c r="R141" s="42"/>
      <c r="S141" s="42"/>
      <c r="X141" s="42"/>
      <c r="Y141" s="42"/>
      <c r="Z141" s="42"/>
      <c r="AA141" s="42"/>
      <c r="AB141" s="42"/>
      <c r="AC141" s="42"/>
      <c r="AD141" s="42"/>
      <c r="AE141" s="42"/>
      <c r="AF141" s="42"/>
      <c r="AG141" s="42"/>
      <c r="AH141" s="42"/>
      <c r="AI141" s="42"/>
      <c r="AJ141" s="42"/>
      <c r="AK141" s="42"/>
      <c r="AL141" s="42"/>
      <c r="AM141" s="42"/>
      <c r="AN141" s="42"/>
      <c r="AO141" s="42"/>
      <c r="AP141" s="42"/>
    </row>
    <row r="142" spans="1:42" ht="12.75" hidden="1" customHeight="1" x14ac:dyDescent="0.2">
      <c r="A142" s="42"/>
      <c r="B142" s="42"/>
      <c r="C142" s="42"/>
      <c r="D142" s="42"/>
      <c r="E142" s="42"/>
      <c r="F142" s="42"/>
      <c r="G142" s="42"/>
      <c r="H142" s="42"/>
      <c r="I142" s="42"/>
      <c r="J142" s="42"/>
      <c r="K142" s="42"/>
      <c r="O142" s="42"/>
      <c r="P142" s="42"/>
      <c r="Q142" s="42"/>
      <c r="R142" s="42"/>
      <c r="S142" s="42"/>
      <c r="X142" s="42"/>
      <c r="Y142" s="42"/>
      <c r="Z142" s="42"/>
      <c r="AA142" s="42"/>
      <c r="AB142" s="42"/>
      <c r="AC142" s="42"/>
      <c r="AD142" s="42"/>
      <c r="AE142" s="42"/>
      <c r="AF142" s="42"/>
      <c r="AG142" s="42"/>
      <c r="AH142" s="42"/>
      <c r="AI142" s="42"/>
      <c r="AJ142" s="42"/>
      <c r="AK142" s="42"/>
      <c r="AL142" s="42"/>
      <c r="AM142" s="42"/>
      <c r="AN142" s="42"/>
      <c r="AO142" s="42"/>
      <c r="AP142" s="42"/>
    </row>
    <row r="143" spans="1:42" ht="12.75" hidden="1" customHeight="1" x14ac:dyDescent="0.2">
      <c r="A143" s="42"/>
      <c r="B143" s="42"/>
      <c r="C143" s="42"/>
      <c r="D143" s="42"/>
      <c r="E143" s="42"/>
      <c r="F143" s="42"/>
      <c r="G143" s="42"/>
      <c r="H143" s="42"/>
      <c r="I143" s="42"/>
      <c r="J143" s="42"/>
      <c r="K143" s="42"/>
      <c r="O143" s="42"/>
      <c r="P143" s="42"/>
      <c r="Q143" s="42"/>
      <c r="R143" s="42"/>
      <c r="S143" s="42"/>
      <c r="X143" s="42"/>
      <c r="Y143" s="42"/>
      <c r="Z143" s="42"/>
      <c r="AA143" s="42"/>
      <c r="AB143" s="42"/>
      <c r="AC143" s="42"/>
      <c r="AD143" s="42"/>
      <c r="AE143" s="42"/>
      <c r="AF143" s="42"/>
      <c r="AG143" s="42"/>
      <c r="AH143" s="42"/>
      <c r="AI143" s="42"/>
      <c r="AJ143" s="42"/>
      <c r="AK143" s="42"/>
      <c r="AL143" s="42"/>
      <c r="AM143" s="42"/>
      <c r="AN143" s="42"/>
      <c r="AO143" s="42"/>
      <c r="AP143" s="42"/>
    </row>
    <row r="144" spans="1:42" ht="12.75" hidden="1" customHeight="1" x14ac:dyDescent="0.2">
      <c r="A144" s="42"/>
      <c r="B144" s="42"/>
      <c r="C144" s="42"/>
      <c r="D144" s="42"/>
      <c r="E144" s="42"/>
      <c r="F144" s="42"/>
      <c r="G144" s="42"/>
      <c r="H144" s="42"/>
      <c r="I144" s="42"/>
      <c r="J144" s="42"/>
      <c r="K144" s="42"/>
      <c r="O144" s="42"/>
      <c r="P144" s="42"/>
      <c r="Q144" s="42"/>
      <c r="R144" s="42"/>
      <c r="S144" s="42"/>
      <c r="X144" s="42"/>
      <c r="Y144" s="42"/>
      <c r="Z144" s="42"/>
      <c r="AA144" s="42"/>
      <c r="AB144" s="42"/>
      <c r="AC144" s="42"/>
      <c r="AD144" s="42"/>
      <c r="AE144" s="42"/>
      <c r="AF144" s="42"/>
      <c r="AG144" s="42"/>
      <c r="AH144" s="42"/>
      <c r="AI144" s="42"/>
      <c r="AJ144" s="42"/>
      <c r="AK144" s="42"/>
      <c r="AL144" s="42"/>
      <c r="AM144" s="42"/>
      <c r="AN144" s="42"/>
      <c r="AO144" s="42"/>
      <c r="AP144" s="42"/>
    </row>
    <row r="145" spans="1:42" ht="12.75" hidden="1" customHeight="1" x14ac:dyDescent="0.2">
      <c r="A145" s="42"/>
      <c r="B145" s="42"/>
      <c r="C145" s="42"/>
      <c r="D145" s="42"/>
      <c r="E145" s="42"/>
      <c r="F145" s="42"/>
      <c r="G145" s="42"/>
      <c r="H145" s="42"/>
      <c r="I145" s="42"/>
      <c r="J145" s="42"/>
      <c r="K145" s="42"/>
      <c r="O145" s="42"/>
      <c r="P145" s="42"/>
      <c r="Q145" s="42"/>
      <c r="R145" s="42"/>
      <c r="S145" s="42"/>
      <c r="X145" s="42"/>
      <c r="Y145" s="42"/>
      <c r="Z145" s="42"/>
      <c r="AA145" s="42"/>
      <c r="AB145" s="42"/>
      <c r="AC145" s="42"/>
      <c r="AD145" s="42"/>
      <c r="AE145" s="42"/>
      <c r="AF145" s="42"/>
      <c r="AG145" s="42"/>
      <c r="AH145" s="42"/>
      <c r="AI145" s="42"/>
      <c r="AJ145" s="42"/>
      <c r="AK145" s="42"/>
      <c r="AL145" s="42"/>
      <c r="AM145" s="42"/>
      <c r="AN145" s="42"/>
      <c r="AO145" s="42"/>
      <c r="AP145" s="42"/>
    </row>
    <row r="146" spans="1:42" ht="12.75" hidden="1" customHeight="1" x14ac:dyDescent="0.2">
      <c r="A146" s="42"/>
      <c r="B146" s="42"/>
      <c r="C146" s="42"/>
      <c r="D146" s="42"/>
      <c r="E146" s="42"/>
      <c r="F146" s="42"/>
      <c r="G146" s="42"/>
      <c r="H146" s="42"/>
      <c r="I146" s="42"/>
      <c r="J146" s="42"/>
      <c r="K146" s="42"/>
      <c r="O146" s="42"/>
      <c r="P146" s="42"/>
      <c r="Q146" s="42"/>
      <c r="R146" s="42"/>
      <c r="S146" s="42"/>
      <c r="X146" s="42"/>
      <c r="Y146" s="42"/>
      <c r="Z146" s="42"/>
      <c r="AA146" s="42"/>
      <c r="AB146" s="42"/>
      <c r="AC146" s="42"/>
      <c r="AD146" s="42"/>
      <c r="AE146" s="42"/>
      <c r="AF146" s="42"/>
      <c r="AG146" s="42"/>
      <c r="AH146" s="42"/>
      <c r="AI146" s="42"/>
      <c r="AJ146" s="42"/>
      <c r="AK146" s="42"/>
      <c r="AL146" s="42"/>
      <c r="AM146" s="42"/>
      <c r="AN146" s="42"/>
      <c r="AO146" s="42"/>
      <c r="AP146" s="42"/>
    </row>
    <row r="147" spans="1:42" ht="12.75" hidden="1" customHeight="1" x14ac:dyDescent="0.2">
      <c r="A147" s="42"/>
      <c r="B147" s="42"/>
      <c r="C147" s="42"/>
      <c r="D147" s="42"/>
      <c r="E147" s="42"/>
      <c r="F147" s="42"/>
      <c r="G147" s="42"/>
      <c r="H147" s="42"/>
      <c r="I147" s="42"/>
      <c r="J147" s="42"/>
      <c r="K147" s="42"/>
      <c r="O147" s="42"/>
      <c r="P147" s="42"/>
      <c r="Q147" s="42"/>
      <c r="R147" s="42"/>
      <c r="S147" s="42"/>
      <c r="X147" s="42"/>
      <c r="Y147" s="42"/>
      <c r="Z147" s="42"/>
      <c r="AA147" s="42"/>
      <c r="AB147" s="42"/>
      <c r="AC147" s="42"/>
      <c r="AD147" s="42"/>
      <c r="AE147" s="42"/>
      <c r="AF147" s="42"/>
      <c r="AG147" s="42"/>
      <c r="AH147" s="42"/>
      <c r="AI147" s="42"/>
      <c r="AJ147" s="42"/>
      <c r="AK147" s="42"/>
      <c r="AL147" s="42"/>
      <c r="AM147" s="42"/>
      <c r="AN147" s="42"/>
      <c r="AO147" s="42"/>
      <c r="AP147" s="42"/>
    </row>
    <row r="148" spans="1:42" ht="12.75" hidden="1" customHeight="1" x14ac:dyDescent="0.2">
      <c r="A148" s="42"/>
      <c r="B148" s="42"/>
      <c r="C148" s="42"/>
      <c r="D148" s="42"/>
      <c r="E148" s="42"/>
      <c r="F148" s="42"/>
      <c r="G148" s="42"/>
      <c r="H148" s="42"/>
      <c r="I148" s="42"/>
      <c r="J148" s="42"/>
      <c r="K148" s="42"/>
      <c r="O148" s="42"/>
      <c r="P148" s="42"/>
      <c r="Q148" s="42"/>
      <c r="R148" s="42"/>
      <c r="S148" s="42"/>
      <c r="X148" s="42"/>
      <c r="Y148" s="42"/>
      <c r="Z148" s="42"/>
      <c r="AA148" s="42"/>
      <c r="AB148" s="42"/>
      <c r="AC148" s="42"/>
      <c r="AD148" s="42"/>
      <c r="AE148" s="42"/>
      <c r="AF148" s="42"/>
      <c r="AG148" s="42"/>
      <c r="AH148" s="42"/>
      <c r="AI148" s="42"/>
      <c r="AJ148" s="42"/>
      <c r="AK148" s="42"/>
      <c r="AL148" s="42"/>
      <c r="AM148" s="42"/>
      <c r="AN148" s="42"/>
      <c r="AO148" s="42"/>
      <c r="AP148" s="42"/>
    </row>
    <row r="149" spans="1:42" hidden="1" x14ac:dyDescent="0.2">
      <c r="A149" s="42"/>
      <c r="B149" s="42"/>
      <c r="C149" s="42"/>
      <c r="D149" s="42"/>
      <c r="E149" s="42"/>
      <c r="F149" s="42"/>
      <c r="G149" s="42"/>
      <c r="H149" s="42"/>
      <c r="I149" s="42"/>
      <c r="J149" s="42"/>
      <c r="K149" s="42"/>
      <c r="O149" s="42"/>
      <c r="P149" s="42"/>
      <c r="Q149" s="42"/>
      <c r="R149" s="42"/>
      <c r="S149" s="42"/>
      <c r="X149" s="42"/>
      <c r="Y149" s="42"/>
      <c r="Z149" s="42"/>
      <c r="AA149" s="42"/>
      <c r="AB149" s="42"/>
      <c r="AC149" s="42"/>
      <c r="AD149" s="42"/>
      <c r="AE149" s="42"/>
      <c r="AF149" s="42"/>
      <c r="AG149" s="42"/>
      <c r="AH149" s="42"/>
      <c r="AI149" s="42"/>
      <c r="AJ149" s="42"/>
      <c r="AK149" s="42"/>
      <c r="AL149" s="42"/>
      <c r="AM149" s="42"/>
      <c r="AN149" s="42"/>
      <c r="AO149" s="42"/>
      <c r="AP149" s="42"/>
    </row>
    <row r="150" spans="1:42" hidden="1" x14ac:dyDescent="0.2">
      <c r="A150" s="42"/>
      <c r="B150" s="42"/>
      <c r="C150" s="42"/>
      <c r="D150" s="42"/>
      <c r="E150" s="42"/>
      <c r="F150" s="42"/>
      <c r="G150" s="42"/>
      <c r="H150" s="42"/>
      <c r="I150" s="42"/>
      <c r="J150" s="42"/>
      <c r="K150" s="42"/>
      <c r="O150" s="42"/>
      <c r="P150" s="42"/>
      <c r="Q150" s="42"/>
      <c r="R150" s="42"/>
      <c r="S150" s="42"/>
      <c r="X150" s="42"/>
      <c r="Y150" s="42"/>
      <c r="Z150" s="42"/>
      <c r="AA150" s="42"/>
      <c r="AB150" s="42"/>
      <c r="AC150" s="42"/>
      <c r="AD150" s="42"/>
      <c r="AE150" s="42"/>
      <c r="AF150" s="42"/>
      <c r="AG150" s="42"/>
      <c r="AH150" s="42"/>
      <c r="AI150" s="42"/>
      <c r="AJ150" s="42"/>
      <c r="AK150" s="42"/>
      <c r="AL150" s="42"/>
      <c r="AM150" s="42"/>
      <c r="AN150" s="42"/>
      <c r="AO150" s="42"/>
      <c r="AP150" s="42"/>
    </row>
    <row r="151" spans="1:42" hidden="1" x14ac:dyDescent="0.2">
      <c r="A151" s="42"/>
      <c r="B151" s="42"/>
      <c r="C151" s="42"/>
      <c r="D151" s="42"/>
      <c r="E151" s="42"/>
      <c r="F151" s="42"/>
      <c r="G151" s="42"/>
      <c r="H151" s="42"/>
      <c r="I151" s="42"/>
      <c r="J151" s="42"/>
      <c r="K151" s="42"/>
      <c r="O151" s="42"/>
      <c r="P151" s="42"/>
      <c r="Q151" s="42"/>
      <c r="R151" s="42"/>
      <c r="S151" s="42"/>
      <c r="X151" s="42"/>
      <c r="Y151" s="42"/>
      <c r="Z151" s="42"/>
      <c r="AA151" s="42"/>
      <c r="AB151" s="42"/>
      <c r="AC151" s="42"/>
      <c r="AD151" s="42"/>
      <c r="AE151" s="42"/>
      <c r="AF151" s="42"/>
      <c r="AG151" s="42"/>
      <c r="AH151" s="42"/>
      <c r="AI151" s="42"/>
      <c r="AJ151" s="42"/>
      <c r="AK151" s="42"/>
      <c r="AL151" s="42"/>
      <c r="AM151" s="42"/>
      <c r="AN151" s="42"/>
      <c r="AO151" s="42"/>
      <c r="AP151" s="42"/>
    </row>
    <row r="152" spans="1:42" hidden="1" x14ac:dyDescent="0.2">
      <c r="A152" s="42"/>
      <c r="B152" s="42"/>
      <c r="C152" s="42"/>
      <c r="D152" s="42"/>
      <c r="E152" s="42"/>
      <c r="F152" s="42"/>
      <c r="G152" s="42"/>
      <c r="H152" s="42"/>
      <c r="I152" s="42"/>
      <c r="J152" s="42"/>
      <c r="K152" s="42"/>
      <c r="O152" s="42"/>
      <c r="P152" s="42"/>
      <c r="Q152" s="42"/>
      <c r="R152" s="42"/>
      <c r="S152" s="42"/>
      <c r="X152" s="42"/>
      <c r="Y152" s="42"/>
      <c r="Z152" s="42"/>
      <c r="AA152" s="42"/>
      <c r="AB152" s="42"/>
      <c r="AC152" s="42"/>
      <c r="AD152" s="42"/>
      <c r="AE152" s="42"/>
      <c r="AF152" s="42"/>
      <c r="AG152" s="42"/>
      <c r="AH152" s="42"/>
      <c r="AI152" s="42"/>
      <c r="AJ152" s="42"/>
      <c r="AK152" s="42"/>
      <c r="AL152" s="42"/>
      <c r="AM152" s="42"/>
      <c r="AN152" s="42"/>
      <c r="AO152" s="42"/>
      <c r="AP152" s="42"/>
    </row>
    <row r="153" spans="1:42" hidden="1" x14ac:dyDescent="0.2">
      <c r="A153" s="42"/>
      <c r="B153" s="42"/>
      <c r="C153" s="42"/>
      <c r="D153" s="42"/>
      <c r="E153" s="42"/>
      <c r="F153" s="42"/>
      <c r="G153" s="42"/>
      <c r="H153" s="42"/>
      <c r="I153" s="42"/>
      <c r="J153" s="42"/>
      <c r="K153" s="42"/>
      <c r="O153" s="42"/>
      <c r="P153" s="42"/>
      <c r="Q153" s="42"/>
      <c r="R153" s="42"/>
      <c r="S153" s="42"/>
      <c r="X153" s="42"/>
      <c r="Y153" s="42"/>
      <c r="Z153" s="42"/>
      <c r="AA153" s="42"/>
      <c r="AB153" s="42"/>
      <c r="AC153" s="42"/>
      <c r="AD153" s="42"/>
      <c r="AE153" s="42"/>
      <c r="AF153" s="42"/>
      <c r="AG153" s="42"/>
      <c r="AH153" s="42"/>
      <c r="AI153" s="42"/>
      <c r="AJ153" s="42"/>
      <c r="AK153" s="42"/>
      <c r="AL153" s="42"/>
      <c r="AM153" s="42"/>
      <c r="AN153" s="42"/>
      <c r="AO153" s="42"/>
      <c r="AP153" s="42"/>
    </row>
    <row r="154" spans="1:42" hidden="1" x14ac:dyDescent="0.2">
      <c r="A154" s="42"/>
      <c r="B154" s="42"/>
      <c r="C154" s="42"/>
      <c r="D154" s="42"/>
      <c r="E154" s="42"/>
      <c r="F154" s="42"/>
      <c r="G154" s="42"/>
      <c r="H154" s="42"/>
      <c r="I154" s="42"/>
      <c r="J154" s="42"/>
      <c r="K154" s="42"/>
      <c r="O154" s="42"/>
      <c r="P154" s="42"/>
      <c r="Q154" s="42"/>
      <c r="R154" s="42"/>
      <c r="S154" s="42"/>
      <c r="X154" s="42"/>
      <c r="Y154" s="42"/>
      <c r="Z154" s="42"/>
      <c r="AA154" s="42"/>
      <c r="AB154" s="42"/>
      <c r="AC154" s="42"/>
      <c r="AD154" s="42"/>
      <c r="AE154" s="42"/>
      <c r="AF154" s="42"/>
      <c r="AG154" s="42"/>
      <c r="AH154" s="42"/>
      <c r="AI154" s="42"/>
      <c r="AJ154" s="42"/>
      <c r="AK154" s="42"/>
      <c r="AL154" s="42"/>
      <c r="AM154" s="42"/>
      <c r="AN154" s="42"/>
      <c r="AO154" s="42"/>
      <c r="AP154" s="42"/>
    </row>
    <row r="155" spans="1:42" hidden="1" x14ac:dyDescent="0.2">
      <c r="A155" s="42"/>
      <c r="B155" s="42"/>
      <c r="C155" s="42"/>
      <c r="D155" s="42"/>
      <c r="E155" s="42"/>
      <c r="F155" s="42"/>
      <c r="G155" s="42"/>
      <c r="H155" s="42"/>
      <c r="I155" s="42"/>
      <c r="J155" s="42"/>
      <c r="K155" s="42"/>
      <c r="O155" s="42"/>
      <c r="P155" s="42"/>
      <c r="Q155" s="42"/>
      <c r="R155" s="42"/>
      <c r="S155" s="42"/>
      <c r="X155" s="42"/>
      <c r="Y155" s="42"/>
      <c r="Z155" s="42"/>
      <c r="AA155" s="42"/>
      <c r="AB155" s="42"/>
      <c r="AC155" s="42"/>
      <c r="AD155" s="42"/>
      <c r="AE155" s="42"/>
      <c r="AF155" s="42"/>
      <c r="AG155" s="42"/>
      <c r="AH155" s="42"/>
      <c r="AI155" s="42"/>
      <c r="AJ155" s="42"/>
      <c r="AK155" s="42"/>
      <c r="AL155" s="42"/>
      <c r="AM155" s="42"/>
      <c r="AN155" s="42"/>
      <c r="AO155" s="42"/>
      <c r="AP155" s="42"/>
    </row>
    <row r="156" spans="1:42" hidden="1" x14ac:dyDescent="0.2">
      <c r="A156" s="42"/>
      <c r="B156" s="42"/>
      <c r="C156" s="42"/>
      <c r="D156" s="42"/>
      <c r="E156" s="42"/>
      <c r="F156" s="42"/>
      <c r="G156" s="42"/>
      <c r="H156" s="42"/>
      <c r="I156" s="42"/>
      <c r="J156" s="42"/>
      <c r="K156" s="42"/>
      <c r="O156" s="42"/>
      <c r="P156" s="42"/>
      <c r="Q156" s="42"/>
      <c r="R156" s="42"/>
      <c r="S156" s="42"/>
      <c r="X156" s="42"/>
      <c r="Y156" s="42"/>
      <c r="Z156" s="42"/>
      <c r="AA156" s="42"/>
      <c r="AB156" s="42"/>
      <c r="AC156" s="42"/>
      <c r="AD156" s="42"/>
      <c r="AE156" s="42"/>
      <c r="AF156" s="42"/>
      <c r="AG156" s="42"/>
      <c r="AH156" s="42"/>
      <c r="AI156" s="42"/>
      <c r="AJ156" s="42"/>
      <c r="AK156" s="42"/>
      <c r="AL156" s="42"/>
      <c r="AM156" s="42"/>
      <c r="AN156" s="42"/>
      <c r="AO156" s="42"/>
      <c r="AP156" s="42"/>
    </row>
    <row r="157" spans="1:42" hidden="1" x14ac:dyDescent="0.2">
      <c r="A157" s="42"/>
      <c r="B157" s="42"/>
      <c r="C157" s="42"/>
      <c r="D157" s="42"/>
      <c r="E157" s="42"/>
      <c r="F157" s="42"/>
      <c r="G157" s="42"/>
      <c r="H157" s="42"/>
      <c r="I157" s="42"/>
      <c r="J157" s="42"/>
      <c r="K157" s="42"/>
      <c r="O157" s="42"/>
      <c r="P157" s="42"/>
      <c r="Q157" s="42"/>
      <c r="R157" s="42"/>
      <c r="S157" s="42"/>
      <c r="X157" s="42"/>
      <c r="Y157" s="42"/>
      <c r="Z157" s="42"/>
      <c r="AA157" s="42"/>
      <c r="AB157" s="42"/>
      <c r="AC157" s="42"/>
      <c r="AD157" s="42"/>
      <c r="AE157" s="42"/>
      <c r="AF157" s="42"/>
      <c r="AG157" s="42"/>
      <c r="AH157" s="42"/>
      <c r="AI157" s="42"/>
      <c r="AJ157" s="42"/>
      <c r="AK157" s="42"/>
      <c r="AL157" s="42"/>
      <c r="AM157" s="42"/>
      <c r="AN157" s="42"/>
      <c r="AO157" s="42"/>
      <c r="AP157" s="42"/>
    </row>
    <row r="158" spans="1:42" hidden="1" x14ac:dyDescent="0.2">
      <c r="A158" s="42"/>
      <c r="B158" s="42"/>
      <c r="C158" s="42"/>
      <c r="D158" s="42"/>
      <c r="E158" s="42"/>
      <c r="F158" s="42"/>
      <c r="G158" s="42"/>
      <c r="H158" s="42"/>
      <c r="I158" s="42"/>
      <c r="J158" s="42"/>
      <c r="K158" s="42"/>
      <c r="O158" s="42"/>
      <c r="P158" s="42"/>
      <c r="Q158" s="42"/>
      <c r="R158" s="42"/>
      <c r="S158" s="42"/>
      <c r="X158" s="42"/>
      <c r="Y158" s="42"/>
      <c r="Z158" s="42"/>
      <c r="AA158" s="42"/>
      <c r="AB158" s="42"/>
      <c r="AC158" s="42"/>
      <c r="AD158" s="42"/>
      <c r="AE158" s="42"/>
      <c r="AF158" s="42"/>
      <c r="AG158" s="42"/>
      <c r="AH158" s="42"/>
      <c r="AI158" s="42"/>
      <c r="AJ158" s="42"/>
      <c r="AK158" s="42"/>
      <c r="AL158" s="42"/>
      <c r="AM158" s="42"/>
      <c r="AN158" s="42"/>
      <c r="AO158" s="42"/>
      <c r="AP158" s="42"/>
    </row>
    <row r="159" spans="1:42" hidden="1" x14ac:dyDescent="0.2">
      <c r="A159" s="42"/>
      <c r="B159" s="42"/>
      <c r="C159" s="42"/>
      <c r="D159" s="42"/>
      <c r="E159" s="42"/>
      <c r="F159" s="42"/>
      <c r="G159" s="42"/>
      <c r="H159" s="42"/>
      <c r="I159" s="42"/>
      <c r="J159" s="42"/>
      <c r="K159" s="42"/>
      <c r="O159" s="42"/>
      <c r="P159" s="42"/>
      <c r="Q159" s="42"/>
      <c r="R159" s="42"/>
      <c r="S159" s="42"/>
      <c r="X159" s="42"/>
      <c r="Y159" s="42"/>
      <c r="Z159" s="42"/>
      <c r="AA159" s="42"/>
      <c r="AB159" s="42"/>
      <c r="AC159" s="42"/>
      <c r="AD159" s="42"/>
      <c r="AE159" s="42"/>
      <c r="AF159" s="42"/>
      <c r="AG159" s="42"/>
      <c r="AH159" s="42"/>
      <c r="AI159" s="42"/>
      <c r="AJ159" s="42"/>
      <c r="AK159" s="42"/>
      <c r="AL159" s="42"/>
      <c r="AM159" s="42"/>
      <c r="AN159" s="42"/>
      <c r="AO159" s="42"/>
      <c r="AP159" s="42"/>
    </row>
    <row r="160" spans="1:42" hidden="1" x14ac:dyDescent="0.2">
      <c r="A160" s="42"/>
      <c r="B160" s="42"/>
      <c r="C160" s="42"/>
      <c r="D160" s="42"/>
      <c r="E160" s="42"/>
      <c r="F160" s="42"/>
      <c r="G160" s="42"/>
      <c r="H160" s="42"/>
      <c r="I160" s="42"/>
      <c r="J160" s="42"/>
      <c r="K160" s="42"/>
      <c r="O160" s="42"/>
      <c r="P160" s="42"/>
      <c r="Q160" s="42"/>
      <c r="R160" s="42"/>
      <c r="S160" s="42"/>
      <c r="X160" s="42"/>
      <c r="Y160" s="42"/>
      <c r="Z160" s="42"/>
      <c r="AA160" s="42"/>
      <c r="AB160" s="42"/>
      <c r="AC160" s="42"/>
      <c r="AD160" s="42"/>
      <c r="AE160" s="42"/>
      <c r="AF160" s="42"/>
      <c r="AG160" s="42"/>
      <c r="AH160" s="42"/>
      <c r="AI160" s="42"/>
      <c r="AJ160" s="42"/>
      <c r="AK160" s="42"/>
      <c r="AL160" s="42"/>
      <c r="AM160" s="42"/>
      <c r="AN160" s="42"/>
      <c r="AO160" s="42"/>
      <c r="AP160" s="42"/>
    </row>
    <row r="161" spans="1:42" hidden="1" x14ac:dyDescent="0.2">
      <c r="A161" s="42"/>
      <c r="B161" s="42"/>
      <c r="C161" s="42"/>
      <c r="D161" s="42"/>
      <c r="E161" s="42"/>
      <c r="F161" s="42"/>
      <c r="G161" s="42"/>
      <c r="H161" s="42"/>
      <c r="I161" s="42"/>
      <c r="J161" s="42"/>
      <c r="K161" s="42"/>
      <c r="O161" s="42"/>
      <c r="P161" s="42"/>
      <c r="Q161" s="42"/>
      <c r="R161" s="42"/>
      <c r="S161" s="42"/>
      <c r="X161" s="42"/>
      <c r="Y161" s="42"/>
      <c r="Z161" s="42"/>
      <c r="AA161" s="42"/>
      <c r="AB161" s="42"/>
      <c r="AC161" s="42"/>
      <c r="AD161" s="42"/>
      <c r="AE161" s="42"/>
      <c r="AF161" s="42"/>
      <c r="AG161" s="42"/>
      <c r="AH161" s="42"/>
      <c r="AI161" s="42"/>
      <c r="AJ161" s="42"/>
      <c r="AK161" s="42"/>
      <c r="AL161" s="42"/>
      <c r="AM161" s="42"/>
      <c r="AN161" s="42"/>
      <c r="AO161" s="42"/>
      <c r="AP161" s="42"/>
    </row>
    <row r="162" spans="1:42" hidden="1" x14ac:dyDescent="0.2">
      <c r="A162" s="42"/>
      <c r="B162" s="42"/>
      <c r="C162" s="42"/>
      <c r="D162" s="42"/>
      <c r="E162" s="42"/>
      <c r="F162" s="42"/>
      <c r="G162" s="42"/>
      <c r="H162" s="42"/>
      <c r="I162" s="42"/>
      <c r="J162" s="42"/>
      <c r="K162" s="42"/>
      <c r="O162" s="42"/>
      <c r="P162" s="42"/>
      <c r="Q162" s="42"/>
      <c r="R162" s="42"/>
      <c r="S162" s="42"/>
      <c r="X162" s="42"/>
      <c r="Y162" s="42"/>
      <c r="Z162" s="42"/>
      <c r="AA162" s="42"/>
      <c r="AB162" s="42"/>
      <c r="AC162" s="42"/>
      <c r="AD162" s="42"/>
      <c r="AE162" s="42"/>
      <c r="AF162" s="42"/>
      <c r="AG162" s="42"/>
      <c r="AH162" s="42"/>
      <c r="AI162" s="42"/>
      <c r="AJ162" s="42"/>
      <c r="AK162" s="42"/>
      <c r="AL162" s="42"/>
      <c r="AM162" s="42"/>
      <c r="AN162" s="42"/>
      <c r="AO162" s="42"/>
      <c r="AP162" s="42"/>
    </row>
    <row r="163" spans="1:42" hidden="1" x14ac:dyDescent="0.2">
      <c r="A163" s="42"/>
      <c r="B163" s="42"/>
      <c r="C163" s="42"/>
      <c r="D163" s="42"/>
      <c r="E163" s="42"/>
      <c r="F163" s="42"/>
      <c r="G163" s="42"/>
      <c r="H163" s="42"/>
      <c r="I163" s="42"/>
      <c r="J163" s="42"/>
      <c r="K163" s="42"/>
      <c r="O163" s="42"/>
      <c r="P163" s="42"/>
      <c r="Q163" s="42"/>
      <c r="R163" s="42"/>
      <c r="S163" s="42"/>
      <c r="X163" s="42"/>
      <c r="Y163" s="42"/>
      <c r="Z163" s="42"/>
      <c r="AA163" s="42"/>
      <c r="AB163" s="42"/>
      <c r="AC163" s="42"/>
      <c r="AD163" s="42"/>
      <c r="AE163" s="42"/>
      <c r="AF163" s="42"/>
      <c r="AG163" s="42"/>
      <c r="AH163" s="42"/>
      <c r="AI163" s="42"/>
      <c r="AJ163" s="42"/>
      <c r="AK163" s="42"/>
      <c r="AL163" s="42"/>
      <c r="AM163" s="42"/>
      <c r="AN163" s="42"/>
      <c r="AO163" s="42"/>
      <c r="AP163" s="42"/>
    </row>
    <row r="164" spans="1:42" hidden="1" x14ac:dyDescent="0.2">
      <c r="A164" s="42"/>
      <c r="B164" s="42"/>
      <c r="C164" s="42"/>
      <c r="D164" s="42"/>
      <c r="E164" s="42"/>
      <c r="F164" s="42"/>
      <c r="G164" s="42"/>
      <c r="H164" s="42"/>
      <c r="I164" s="42"/>
      <c r="J164" s="42"/>
      <c r="K164" s="42"/>
      <c r="O164" s="42"/>
      <c r="P164" s="42"/>
      <c r="Q164" s="42"/>
      <c r="R164" s="42"/>
      <c r="S164" s="42"/>
      <c r="X164" s="42"/>
      <c r="Y164" s="42"/>
      <c r="Z164" s="42"/>
      <c r="AA164" s="42"/>
      <c r="AB164" s="42"/>
      <c r="AC164" s="42"/>
      <c r="AD164" s="42"/>
      <c r="AE164" s="42"/>
      <c r="AF164" s="42"/>
      <c r="AG164" s="42"/>
      <c r="AH164" s="42"/>
      <c r="AI164" s="42"/>
      <c r="AJ164" s="42"/>
      <c r="AK164" s="42"/>
      <c r="AL164" s="42"/>
      <c r="AM164" s="42"/>
      <c r="AN164" s="42"/>
      <c r="AO164" s="42"/>
      <c r="AP164" s="42"/>
    </row>
    <row r="165" spans="1:42" hidden="1" x14ac:dyDescent="0.2">
      <c r="A165" s="42"/>
      <c r="B165" s="42"/>
      <c r="C165" s="42"/>
      <c r="D165" s="42"/>
      <c r="E165" s="42"/>
      <c r="F165" s="42"/>
      <c r="G165" s="42"/>
      <c r="H165" s="42"/>
      <c r="I165" s="42"/>
      <c r="J165" s="42"/>
      <c r="K165" s="42"/>
      <c r="O165" s="42"/>
      <c r="P165" s="42"/>
      <c r="Q165" s="42"/>
      <c r="R165" s="42"/>
      <c r="S165" s="42"/>
      <c r="X165" s="42"/>
      <c r="Y165" s="42"/>
      <c r="Z165" s="42"/>
      <c r="AA165" s="42"/>
      <c r="AB165" s="42"/>
      <c r="AC165" s="42"/>
      <c r="AD165" s="42"/>
      <c r="AE165" s="42"/>
      <c r="AF165" s="42"/>
      <c r="AG165" s="42"/>
      <c r="AH165" s="42"/>
      <c r="AI165" s="42"/>
      <c r="AJ165" s="42"/>
      <c r="AK165" s="42"/>
      <c r="AL165" s="42"/>
      <c r="AM165" s="42"/>
      <c r="AN165" s="42"/>
      <c r="AO165" s="42"/>
      <c r="AP165" s="42"/>
    </row>
    <row r="166" spans="1:42" hidden="1" x14ac:dyDescent="0.2">
      <c r="A166" s="42"/>
      <c r="B166" s="42"/>
      <c r="C166" s="42"/>
      <c r="D166" s="42"/>
      <c r="E166" s="42"/>
      <c r="F166" s="42"/>
      <c r="G166" s="42"/>
      <c r="H166" s="42"/>
      <c r="I166" s="42"/>
      <c r="J166" s="42"/>
      <c r="K166" s="42"/>
      <c r="O166" s="42"/>
      <c r="P166" s="42"/>
      <c r="Q166" s="42"/>
      <c r="R166" s="42"/>
      <c r="S166" s="42"/>
      <c r="X166" s="42"/>
      <c r="Y166" s="42"/>
      <c r="Z166" s="42"/>
      <c r="AA166" s="42"/>
      <c r="AB166" s="42"/>
      <c r="AC166" s="42"/>
      <c r="AD166" s="42"/>
      <c r="AE166" s="42"/>
      <c r="AF166" s="42"/>
      <c r="AG166" s="42"/>
      <c r="AH166" s="42"/>
      <c r="AI166" s="42"/>
      <c r="AJ166" s="42"/>
      <c r="AK166" s="42"/>
      <c r="AL166" s="42"/>
      <c r="AM166" s="42"/>
      <c r="AN166" s="42"/>
      <c r="AO166" s="42"/>
      <c r="AP166" s="42"/>
    </row>
    <row r="167" spans="1:42" hidden="1" x14ac:dyDescent="0.2">
      <c r="A167" s="42"/>
      <c r="B167" s="42"/>
      <c r="C167" s="42"/>
      <c r="D167" s="42"/>
      <c r="E167" s="42"/>
      <c r="F167" s="42"/>
      <c r="G167" s="42"/>
      <c r="H167" s="42"/>
      <c r="I167" s="42"/>
      <c r="J167" s="42"/>
      <c r="K167" s="42"/>
      <c r="O167" s="42"/>
      <c r="P167" s="42"/>
      <c r="Q167" s="42"/>
      <c r="R167" s="42"/>
      <c r="S167" s="42"/>
      <c r="X167" s="42"/>
      <c r="Y167" s="42"/>
      <c r="Z167" s="42"/>
      <c r="AA167" s="42"/>
      <c r="AB167" s="42"/>
      <c r="AC167" s="42"/>
      <c r="AD167" s="42"/>
      <c r="AE167" s="42"/>
      <c r="AF167" s="42"/>
      <c r="AG167" s="42"/>
      <c r="AH167" s="42"/>
      <c r="AI167" s="42"/>
      <c r="AJ167" s="42"/>
      <c r="AK167" s="42"/>
      <c r="AL167" s="42"/>
      <c r="AM167" s="42"/>
      <c r="AN167" s="42"/>
      <c r="AO167" s="42"/>
      <c r="AP167" s="42"/>
    </row>
    <row r="168" spans="1:42" hidden="1" x14ac:dyDescent="0.2">
      <c r="A168" s="42"/>
      <c r="B168" s="42"/>
      <c r="C168" s="42"/>
      <c r="D168" s="42"/>
      <c r="E168" s="42"/>
      <c r="F168" s="42"/>
      <c r="G168" s="42"/>
      <c r="H168" s="42"/>
      <c r="I168" s="42"/>
      <c r="J168" s="42"/>
      <c r="K168" s="42"/>
      <c r="O168" s="42"/>
      <c r="P168" s="42"/>
      <c r="Q168" s="42"/>
      <c r="R168" s="42"/>
      <c r="S168" s="42"/>
      <c r="X168" s="42"/>
      <c r="Y168" s="42"/>
      <c r="Z168" s="42"/>
      <c r="AA168" s="42"/>
      <c r="AB168" s="42"/>
      <c r="AC168" s="42"/>
      <c r="AD168" s="42"/>
      <c r="AE168" s="42"/>
      <c r="AF168" s="42"/>
      <c r="AG168" s="42"/>
      <c r="AH168" s="42"/>
      <c r="AI168" s="42"/>
      <c r="AJ168" s="42"/>
      <c r="AK168" s="42"/>
      <c r="AL168" s="42"/>
      <c r="AM168" s="42"/>
      <c r="AN168" s="42"/>
      <c r="AO168" s="42"/>
      <c r="AP168" s="42"/>
    </row>
    <row r="169" spans="1:42" hidden="1" x14ac:dyDescent="0.2">
      <c r="A169" s="42"/>
      <c r="B169" s="42"/>
      <c r="C169" s="42"/>
      <c r="D169" s="42"/>
      <c r="E169" s="42"/>
      <c r="F169" s="42"/>
      <c r="G169" s="42"/>
      <c r="H169" s="42"/>
      <c r="I169" s="42"/>
      <c r="J169" s="42"/>
      <c r="K169" s="42"/>
      <c r="O169" s="42"/>
      <c r="P169" s="42"/>
      <c r="Q169" s="42"/>
      <c r="R169" s="42"/>
      <c r="S169" s="42"/>
      <c r="X169" s="42"/>
      <c r="Y169" s="42"/>
      <c r="Z169" s="42"/>
      <c r="AA169" s="42"/>
      <c r="AB169" s="42"/>
      <c r="AC169" s="42"/>
      <c r="AD169" s="42"/>
      <c r="AE169" s="42"/>
      <c r="AF169" s="42"/>
      <c r="AG169" s="42"/>
      <c r="AH169" s="42"/>
      <c r="AI169" s="42"/>
      <c r="AJ169" s="42"/>
      <c r="AK169" s="42"/>
      <c r="AL169" s="42"/>
      <c r="AM169" s="42"/>
      <c r="AN169" s="42"/>
      <c r="AO169" s="42"/>
      <c r="AP169" s="42"/>
    </row>
    <row r="170" spans="1:42" hidden="1" x14ac:dyDescent="0.2">
      <c r="A170" s="42"/>
      <c r="B170" s="42"/>
      <c r="C170" s="42"/>
      <c r="D170" s="42"/>
      <c r="E170" s="42"/>
      <c r="F170" s="42"/>
      <c r="G170" s="42"/>
      <c r="H170" s="42"/>
      <c r="I170" s="42"/>
      <c r="J170" s="42"/>
      <c r="K170" s="42"/>
      <c r="O170" s="42"/>
      <c r="P170" s="42"/>
      <c r="Q170" s="42"/>
      <c r="R170" s="42"/>
      <c r="S170" s="42"/>
      <c r="X170" s="42"/>
      <c r="Y170" s="42"/>
      <c r="Z170" s="42"/>
      <c r="AA170" s="42"/>
      <c r="AB170" s="42"/>
      <c r="AC170" s="42"/>
      <c r="AD170" s="42"/>
      <c r="AE170" s="42"/>
      <c r="AF170" s="42"/>
      <c r="AG170" s="42"/>
      <c r="AH170" s="42"/>
      <c r="AI170" s="42"/>
      <c r="AJ170" s="42"/>
      <c r="AK170" s="42"/>
      <c r="AL170" s="42"/>
      <c r="AM170" s="42"/>
      <c r="AN170" s="42"/>
      <c r="AO170" s="42"/>
      <c r="AP170" s="42"/>
    </row>
    <row r="171" spans="1:42" hidden="1" x14ac:dyDescent="0.2">
      <c r="A171" s="42"/>
      <c r="B171" s="42"/>
      <c r="C171" s="42"/>
      <c r="D171" s="42"/>
      <c r="E171" s="42"/>
      <c r="F171" s="42"/>
      <c r="G171" s="42"/>
      <c r="H171" s="42"/>
      <c r="I171" s="42"/>
      <c r="J171" s="42"/>
      <c r="K171" s="42"/>
      <c r="O171" s="42"/>
      <c r="P171" s="42"/>
      <c r="Q171" s="42"/>
      <c r="R171" s="42"/>
      <c r="S171" s="42"/>
      <c r="X171" s="42"/>
      <c r="Y171" s="42"/>
      <c r="Z171" s="42"/>
      <c r="AA171" s="42"/>
      <c r="AB171" s="42"/>
      <c r="AC171" s="42"/>
      <c r="AD171" s="42"/>
      <c r="AE171" s="42"/>
      <c r="AF171" s="42"/>
      <c r="AG171" s="42"/>
      <c r="AH171" s="42"/>
      <c r="AI171" s="42"/>
      <c r="AJ171" s="42"/>
      <c r="AK171" s="42"/>
      <c r="AL171" s="42"/>
      <c r="AM171" s="42"/>
      <c r="AN171" s="42"/>
      <c r="AO171" s="42"/>
      <c r="AP171" s="42"/>
    </row>
    <row r="172" spans="1:42" hidden="1" x14ac:dyDescent="0.2">
      <c r="A172" s="42"/>
      <c r="B172" s="42"/>
      <c r="C172" s="42"/>
      <c r="D172" s="42"/>
      <c r="E172" s="42"/>
      <c r="F172" s="42"/>
      <c r="G172" s="42"/>
      <c r="H172" s="42"/>
      <c r="I172" s="42"/>
      <c r="J172" s="42"/>
      <c r="K172" s="42"/>
      <c r="O172" s="42"/>
      <c r="P172" s="42"/>
      <c r="Q172" s="42"/>
      <c r="R172" s="42"/>
      <c r="S172" s="42"/>
      <c r="X172" s="42"/>
      <c r="Y172" s="42"/>
      <c r="Z172" s="42"/>
      <c r="AA172" s="42"/>
      <c r="AB172" s="42"/>
      <c r="AC172" s="42"/>
      <c r="AD172" s="42"/>
      <c r="AE172" s="42"/>
      <c r="AF172" s="42"/>
      <c r="AG172" s="42"/>
      <c r="AH172" s="42"/>
      <c r="AI172" s="42"/>
      <c r="AJ172" s="42"/>
      <c r="AK172" s="42"/>
      <c r="AL172" s="42"/>
      <c r="AM172" s="42"/>
      <c r="AN172" s="42"/>
      <c r="AO172" s="42"/>
      <c r="AP172" s="42"/>
    </row>
    <row r="173" spans="1:42" hidden="1" x14ac:dyDescent="0.2">
      <c r="A173" s="42"/>
      <c r="B173" s="42"/>
      <c r="C173" s="42"/>
      <c r="D173" s="42"/>
      <c r="E173" s="42"/>
      <c r="F173" s="42"/>
      <c r="G173" s="42"/>
      <c r="H173" s="42"/>
      <c r="I173" s="42"/>
      <c r="J173" s="42"/>
      <c r="K173" s="42"/>
      <c r="O173" s="42"/>
      <c r="P173" s="42"/>
      <c r="Q173" s="42"/>
      <c r="R173" s="42"/>
      <c r="S173" s="42"/>
      <c r="X173" s="42"/>
      <c r="Y173" s="42"/>
      <c r="Z173" s="42"/>
      <c r="AA173" s="42"/>
      <c r="AB173" s="42"/>
      <c r="AC173" s="42"/>
      <c r="AD173" s="42"/>
      <c r="AE173" s="42"/>
      <c r="AF173" s="42"/>
      <c r="AG173" s="42"/>
      <c r="AH173" s="42"/>
      <c r="AI173" s="42"/>
      <c r="AJ173" s="42"/>
      <c r="AK173" s="42"/>
      <c r="AL173" s="42"/>
      <c r="AM173" s="42"/>
      <c r="AN173" s="42"/>
      <c r="AO173" s="42"/>
      <c r="AP173" s="42"/>
    </row>
    <row r="174" spans="1:42" hidden="1" x14ac:dyDescent="0.2">
      <c r="A174" s="42"/>
      <c r="B174" s="42"/>
      <c r="C174" s="42"/>
      <c r="D174" s="42"/>
      <c r="E174" s="42"/>
      <c r="F174" s="42"/>
      <c r="G174" s="42"/>
      <c r="H174" s="42"/>
      <c r="I174" s="42"/>
      <c r="J174" s="42"/>
      <c r="K174" s="42"/>
      <c r="O174" s="42"/>
      <c r="P174" s="42"/>
      <c r="Q174" s="42"/>
      <c r="R174" s="42"/>
      <c r="S174" s="42"/>
      <c r="X174" s="42"/>
      <c r="Y174" s="42"/>
      <c r="Z174" s="42"/>
      <c r="AA174" s="42"/>
      <c r="AB174" s="42"/>
      <c r="AC174" s="42"/>
      <c r="AD174" s="42"/>
      <c r="AE174" s="42"/>
      <c r="AF174" s="42"/>
      <c r="AG174" s="42"/>
      <c r="AH174" s="42"/>
      <c r="AI174" s="42"/>
      <c r="AJ174" s="42"/>
      <c r="AK174" s="42"/>
      <c r="AL174" s="42"/>
      <c r="AM174" s="42"/>
      <c r="AN174" s="42"/>
      <c r="AO174" s="42"/>
      <c r="AP174" s="42"/>
    </row>
    <row r="175" spans="1:42" hidden="1" x14ac:dyDescent="0.2">
      <c r="A175" s="42"/>
      <c r="B175" s="42"/>
      <c r="C175" s="42"/>
      <c r="D175" s="42"/>
      <c r="E175" s="42"/>
      <c r="F175" s="42"/>
      <c r="G175" s="42"/>
      <c r="H175" s="42"/>
      <c r="I175" s="42"/>
      <c r="J175" s="42"/>
      <c r="K175" s="42"/>
      <c r="O175" s="42"/>
      <c r="P175" s="42"/>
      <c r="Q175" s="42"/>
      <c r="R175" s="42"/>
      <c r="S175" s="42"/>
      <c r="X175" s="42"/>
      <c r="Y175" s="42"/>
      <c r="Z175" s="42"/>
      <c r="AA175" s="42"/>
      <c r="AB175" s="42"/>
      <c r="AC175" s="42"/>
      <c r="AD175" s="42"/>
      <c r="AE175" s="42"/>
      <c r="AF175" s="42"/>
      <c r="AG175" s="42"/>
      <c r="AH175" s="42"/>
      <c r="AI175" s="42"/>
      <c r="AJ175" s="42"/>
      <c r="AK175" s="42"/>
      <c r="AL175" s="42"/>
      <c r="AM175" s="42"/>
      <c r="AN175" s="42"/>
      <c r="AO175" s="42"/>
      <c r="AP175" s="42"/>
    </row>
    <row r="176" spans="1:42" hidden="1" x14ac:dyDescent="0.2">
      <c r="A176" s="42"/>
      <c r="B176" s="42"/>
      <c r="C176" s="42"/>
      <c r="D176" s="42"/>
      <c r="E176" s="42"/>
      <c r="F176" s="42"/>
      <c r="G176" s="42"/>
      <c r="H176" s="42"/>
      <c r="I176" s="42"/>
      <c r="J176" s="42"/>
      <c r="K176" s="42"/>
      <c r="O176" s="42"/>
      <c r="P176" s="42"/>
      <c r="Q176" s="42"/>
      <c r="R176" s="42"/>
      <c r="S176" s="42"/>
      <c r="X176" s="42"/>
      <c r="Y176" s="42"/>
      <c r="Z176" s="42"/>
      <c r="AA176" s="42"/>
      <c r="AB176" s="42"/>
      <c r="AC176" s="42"/>
      <c r="AD176" s="42"/>
      <c r="AE176" s="42"/>
      <c r="AF176" s="42"/>
      <c r="AG176" s="42"/>
      <c r="AH176" s="42"/>
      <c r="AI176" s="42"/>
      <c r="AJ176" s="42"/>
      <c r="AK176" s="42"/>
      <c r="AL176" s="42"/>
      <c r="AM176" s="42"/>
      <c r="AN176" s="42"/>
      <c r="AO176" s="42"/>
      <c r="AP176" s="42"/>
    </row>
    <row r="177" spans="1:42" hidden="1" x14ac:dyDescent="0.2">
      <c r="A177" s="42"/>
      <c r="B177" s="42"/>
      <c r="C177" s="42"/>
      <c r="D177" s="42"/>
      <c r="E177" s="42"/>
      <c r="F177" s="42"/>
      <c r="G177" s="42"/>
      <c r="H177" s="42"/>
      <c r="I177" s="42"/>
      <c r="J177" s="42"/>
      <c r="K177" s="42"/>
      <c r="O177" s="42"/>
      <c r="P177" s="42"/>
      <c r="Q177" s="42"/>
      <c r="R177" s="42"/>
      <c r="S177" s="42"/>
      <c r="X177" s="42"/>
      <c r="Y177" s="42"/>
      <c r="Z177" s="42"/>
      <c r="AA177" s="42"/>
      <c r="AB177" s="42"/>
      <c r="AC177" s="42"/>
      <c r="AD177" s="42"/>
      <c r="AE177" s="42"/>
      <c r="AF177" s="42"/>
      <c r="AG177" s="42"/>
      <c r="AH177" s="42"/>
      <c r="AI177" s="42"/>
      <c r="AJ177" s="42"/>
      <c r="AK177" s="42"/>
      <c r="AL177" s="42"/>
      <c r="AM177" s="42"/>
      <c r="AN177" s="42"/>
      <c r="AO177" s="42"/>
      <c r="AP177" s="42"/>
    </row>
    <row r="178" spans="1:42" hidden="1" x14ac:dyDescent="0.2">
      <c r="A178" s="42"/>
      <c r="B178" s="42"/>
      <c r="C178" s="42"/>
      <c r="D178" s="42"/>
      <c r="E178" s="42"/>
      <c r="F178" s="42"/>
      <c r="G178" s="42"/>
      <c r="H178" s="42"/>
      <c r="I178" s="42"/>
      <c r="J178" s="42"/>
      <c r="K178" s="42"/>
      <c r="O178" s="42"/>
      <c r="P178" s="42"/>
      <c r="Q178" s="42"/>
      <c r="R178" s="42"/>
      <c r="S178" s="42"/>
      <c r="X178" s="42"/>
      <c r="Y178" s="42"/>
      <c r="Z178" s="42"/>
      <c r="AA178" s="42"/>
      <c r="AB178" s="42"/>
      <c r="AC178" s="42"/>
      <c r="AD178" s="42"/>
      <c r="AE178" s="42"/>
      <c r="AF178" s="42"/>
      <c r="AG178" s="42"/>
      <c r="AH178" s="42"/>
      <c r="AI178" s="42"/>
      <c r="AJ178" s="42"/>
      <c r="AK178" s="42"/>
      <c r="AL178" s="42"/>
      <c r="AM178" s="42"/>
      <c r="AN178" s="42"/>
      <c r="AO178" s="42"/>
      <c r="AP178" s="42"/>
    </row>
    <row r="179" spans="1:42" hidden="1" x14ac:dyDescent="0.2">
      <c r="A179" s="42"/>
      <c r="B179" s="42"/>
      <c r="C179" s="42"/>
      <c r="D179" s="42"/>
      <c r="E179" s="42"/>
      <c r="F179" s="42"/>
      <c r="G179" s="42"/>
      <c r="H179" s="42"/>
      <c r="I179" s="42"/>
      <c r="J179" s="42"/>
      <c r="K179" s="42"/>
      <c r="O179" s="42"/>
      <c r="P179" s="42"/>
      <c r="Q179" s="42"/>
      <c r="R179" s="42"/>
      <c r="S179" s="42"/>
      <c r="X179" s="42"/>
      <c r="Y179" s="42"/>
      <c r="Z179" s="42"/>
      <c r="AA179" s="42"/>
      <c r="AB179" s="42"/>
      <c r="AC179" s="42"/>
      <c r="AD179" s="42"/>
      <c r="AE179" s="42"/>
      <c r="AF179" s="42"/>
      <c r="AG179" s="42"/>
      <c r="AH179" s="42"/>
      <c r="AI179" s="42"/>
      <c r="AJ179" s="42"/>
      <c r="AK179" s="42"/>
      <c r="AL179" s="42"/>
      <c r="AM179" s="42"/>
      <c r="AN179" s="42"/>
      <c r="AO179" s="42"/>
      <c r="AP179" s="42"/>
    </row>
    <row r="180" spans="1:42" hidden="1" x14ac:dyDescent="0.2">
      <c r="A180" s="42"/>
      <c r="B180" s="42"/>
      <c r="C180" s="42"/>
      <c r="D180" s="42"/>
      <c r="E180" s="42"/>
      <c r="F180" s="42"/>
      <c r="G180" s="42"/>
      <c r="H180" s="42"/>
      <c r="I180" s="42"/>
      <c r="J180" s="42"/>
      <c r="K180" s="42"/>
      <c r="O180" s="42"/>
      <c r="P180" s="42"/>
      <c r="Q180" s="42"/>
      <c r="R180" s="42"/>
      <c r="S180" s="42"/>
      <c r="X180" s="42"/>
      <c r="Y180" s="42"/>
      <c r="Z180" s="42"/>
      <c r="AA180" s="42"/>
      <c r="AB180" s="42"/>
      <c r="AC180" s="42"/>
      <c r="AD180" s="42"/>
      <c r="AE180" s="42"/>
      <c r="AF180" s="42"/>
      <c r="AG180" s="42"/>
      <c r="AH180" s="42"/>
      <c r="AI180" s="42"/>
      <c r="AJ180" s="42"/>
      <c r="AK180" s="42"/>
      <c r="AL180" s="42"/>
      <c r="AM180" s="42"/>
      <c r="AN180" s="42"/>
      <c r="AO180" s="42"/>
      <c r="AP180" s="42"/>
    </row>
    <row r="181" spans="1:42" hidden="1" x14ac:dyDescent="0.2">
      <c r="A181" s="42"/>
      <c r="B181" s="42"/>
      <c r="C181" s="42"/>
      <c r="D181" s="42"/>
      <c r="E181" s="42"/>
      <c r="F181" s="42"/>
      <c r="G181" s="42"/>
      <c r="H181" s="42"/>
      <c r="I181" s="42"/>
      <c r="J181" s="42"/>
      <c r="K181" s="42"/>
      <c r="O181" s="42"/>
      <c r="P181" s="42"/>
      <c r="Q181" s="42"/>
      <c r="R181" s="42"/>
      <c r="S181" s="42"/>
      <c r="X181" s="42"/>
      <c r="Y181" s="42"/>
      <c r="Z181" s="42"/>
      <c r="AA181" s="42"/>
      <c r="AB181" s="42"/>
      <c r="AC181" s="42"/>
      <c r="AD181" s="42"/>
      <c r="AE181" s="42"/>
      <c r="AF181" s="42"/>
      <c r="AG181" s="42"/>
      <c r="AH181" s="42"/>
      <c r="AI181" s="42"/>
      <c r="AJ181" s="42"/>
      <c r="AK181" s="42"/>
      <c r="AL181" s="42"/>
      <c r="AM181" s="42"/>
      <c r="AN181" s="42"/>
      <c r="AO181" s="42"/>
      <c r="AP181" s="42"/>
    </row>
    <row r="182" spans="1:42" hidden="1" x14ac:dyDescent="0.2">
      <c r="A182" s="42"/>
      <c r="B182" s="42"/>
      <c r="C182" s="42"/>
      <c r="D182" s="42"/>
      <c r="E182" s="42"/>
      <c r="F182" s="42"/>
      <c r="G182" s="42"/>
      <c r="H182" s="42"/>
      <c r="I182" s="42"/>
      <c r="J182" s="42"/>
      <c r="K182" s="42"/>
      <c r="O182" s="42"/>
      <c r="P182" s="42"/>
      <c r="Q182" s="42"/>
      <c r="R182" s="42"/>
      <c r="S182" s="42"/>
      <c r="X182" s="42"/>
      <c r="Y182" s="42"/>
      <c r="Z182" s="42"/>
      <c r="AA182" s="42"/>
      <c r="AB182" s="42"/>
      <c r="AC182" s="42"/>
      <c r="AD182" s="42"/>
      <c r="AE182" s="42"/>
      <c r="AF182" s="42"/>
      <c r="AG182" s="42"/>
      <c r="AH182" s="42"/>
      <c r="AI182" s="42"/>
      <c r="AJ182" s="42"/>
      <c r="AK182" s="42"/>
      <c r="AL182" s="42"/>
      <c r="AM182" s="42"/>
      <c r="AN182" s="42"/>
      <c r="AO182" s="42"/>
      <c r="AP182" s="42"/>
    </row>
    <row r="183" spans="1:42" hidden="1" x14ac:dyDescent="0.2">
      <c r="A183" s="42"/>
      <c r="B183" s="42"/>
      <c r="C183" s="42"/>
      <c r="D183" s="42"/>
      <c r="E183" s="42"/>
      <c r="F183" s="42"/>
      <c r="G183" s="42"/>
      <c r="H183" s="42"/>
      <c r="I183" s="42"/>
      <c r="J183" s="42"/>
      <c r="K183" s="42"/>
      <c r="O183" s="42"/>
      <c r="P183" s="42"/>
      <c r="Q183" s="42"/>
      <c r="R183" s="42"/>
      <c r="S183" s="42"/>
      <c r="X183" s="42"/>
      <c r="Y183" s="42"/>
      <c r="Z183" s="42"/>
      <c r="AA183" s="42"/>
      <c r="AB183" s="42"/>
      <c r="AC183" s="42"/>
      <c r="AD183" s="42"/>
      <c r="AE183" s="42"/>
      <c r="AF183" s="42"/>
      <c r="AG183" s="42"/>
      <c r="AH183" s="42"/>
      <c r="AI183" s="42"/>
      <c r="AJ183" s="42"/>
      <c r="AK183" s="42"/>
      <c r="AL183" s="42"/>
      <c r="AM183" s="42"/>
      <c r="AN183" s="42"/>
      <c r="AO183" s="42"/>
      <c r="AP183" s="42"/>
    </row>
    <row r="184" spans="1:42" hidden="1" x14ac:dyDescent="0.2">
      <c r="A184" s="42"/>
      <c r="B184" s="42"/>
      <c r="C184" s="42"/>
      <c r="D184" s="42"/>
      <c r="E184" s="42"/>
      <c r="F184" s="42"/>
      <c r="G184" s="42"/>
      <c r="H184" s="42"/>
      <c r="I184" s="42"/>
      <c r="J184" s="42"/>
      <c r="K184" s="42"/>
      <c r="O184" s="42"/>
      <c r="P184" s="42"/>
      <c r="Q184" s="42"/>
      <c r="R184" s="42"/>
      <c r="S184" s="42"/>
      <c r="X184" s="42"/>
      <c r="Y184" s="42"/>
      <c r="Z184" s="42"/>
      <c r="AA184" s="42"/>
      <c r="AB184" s="42"/>
      <c r="AC184" s="42"/>
      <c r="AD184" s="42"/>
      <c r="AE184" s="42"/>
      <c r="AF184" s="42"/>
      <c r="AG184" s="42"/>
      <c r="AH184" s="42"/>
      <c r="AI184" s="42"/>
      <c r="AJ184" s="42"/>
      <c r="AK184" s="42"/>
      <c r="AL184" s="42"/>
      <c r="AM184" s="42"/>
      <c r="AN184" s="42"/>
      <c r="AO184" s="42"/>
      <c r="AP184" s="42"/>
    </row>
    <row r="185" spans="1:42" hidden="1" x14ac:dyDescent="0.2">
      <c r="A185" s="42"/>
      <c r="B185" s="42"/>
      <c r="C185" s="42"/>
      <c r="D185" s="42"/>
      <c r="E185" s="42"/>
      <c r="F185" s="42"/>
      <c r="G185" s="42"/>
      <c r="H185" s="42"/>
      <c r="I185" s="42"/>
      <c r="J185" s="42"/>
      <c r="K185" s="42"/>
      <c r="O185" s="42"/>
      <c r="P185" s="42"/>
      <c r="Q185" s="42"/>
      <c r="R185" s="42"/>
      <c r="S185" s="42"/>
      <c r="X185" s="42"/>
      <c r="Y185" s="42"/>
      <c r="Z185" s="42"/>
      <c r="AA185" s="42"/>
      <c r="AB185" s="42"/>
      <c r="AC185" s="42"/>
      <c r="AD185" s="42"/>
      <c r="AE185" s="42"/>
      <c r="AF185" s="42"/>
      <c r="AG185" s="42"/>
      <c r="AH185" s="42"/>
      <c r="AI185" s="42"/>
      <c r="AJ185" s="42"/>
      <c r="AK185" s="42"/>
      <c r="AL185" s="42"/>
      <c r="AM185" s="42"/>
      <c r="AN185" s="42"/>
      <c r="AO185" s="42"/>
      <c r="AP185" s="42"/>
    </row>
    <row r="186" spans="1:42" hidden="1" x14ac:dyDescent="0.2">
      <c r="A186" s="42"/>
      <c r="B186" s="42"/>
      <c r="C186" s="42"/>
      <c r="D186" s="42"/>
      <c r="E186" s="42"/>
      <c r="F186" s="42"/>
      <c r="G186" s="42"/>
      <c r="H186" s="42"/>
      <c r="I186" s="42"/>
      <c r="J186" s="42"/>
      <c r="K186" s="42"/>
      <c r="O186" s="42"/>
      <c r="P186" s="42"/>
      <c r="Q186" s="42"/>
      <c r="R186" s="42"/>
      <c r="S186" s="42"/>
      <c r="X186" s="42"/>
      <c r="Y186" s="42"/>
      <c r="Z186" s="42"/>
      <c r="AA186" s="42"/>
      <c r="AB186" s="42"/>
      <c r="AC186" s="42"/>
      <c r="AD186" s="42"/>
      <c r="AE186" s="42"/>
      <c r="AF186" s="42"/>
      <c r="AG186" s="42"/>
      <c r="AH186" s="42"/>
      <c r="AI186" s="42"/>
      <c r="AJ186" s="42"/>
      <c r="AK186" s="42"/>
      <c r="AL186" s="42"/>
      <c r="AM186" s="42"/>
      <c r="AN186" s="42"/>
      <c r="AO186" s="42"/>
      <c r="AP186" s="42"/>
    </row>
    <row r="187" spans="1:42" hidden="1" x14ac:dyDescent="0.2">
      <c r="A187" s="42"/>
      <c r="B187" s="42"/>
      <c r="C187" s="42"/>
      <c r="D187" s="42"/>
      <c r="E187" s="42"/>
      <c r="F187" s="42"/>
      <c r="G187" s="42"/>
      <c r="H187" s="42"/>
      <c r="I187" s="42"/>
      <c r="J187" s="42"/>
      <c r="K187" s="42"/>
      <c r="O187" s="42"/>
      <c r="P187" s="42"/>
      <c r="Q187" s="42"/>
      <c r="R187" s="42"/>
      <c r="S187" s="42"/>
      <c r="X187" s="42"/>
      <c r="Y187" s="42"/>
      <c r="Z187" s="42"/>
      <c r="AA187" s="42"/>
      <c r="AB187" s="42"/>
      <c r="AC187" s="42"/>
      <c r="AD187" s="42"/>
      <c r="AE187" s="42"/>
      <c r="AF187" s="42"/>
      <c r="AG187" s="42"/>
      <c r="AH187" s="42"/>
      <c r="AI187" s="42"/>
      <c r="AJ187" s="42"/>
      <c r="AK187" s="42"/>
      <c r="AL187" s="42"/>
      <c r="AM187" s="42"/>
      <c r="AN187" s="42"/>
      <c r="AO187" s="42"/>
      <c r="AP187" s="42"/>
    </row>
    <row r="188" spans="1:42" hidden="1" x14ac:dyDescent="0.2">
      <c r="A188" s="42"/>
      <c r="B188" s="42"/>
      <c r="C188" s="42"/>
      <c r="D188" s="42"/>
      <c r="E188" s="42"/>
      <c r="F188" s="42"/>
      <c r="G188" s="42"/>
      <c r="H188" s="42"/>
      <c r="I188" s="42"/>
      <c r="J188" s="42"/>
      <c r="K188" s="42"/>
      <c r="O188" s="42"/>
      <c r="P188" s="42"/>
      <c r="Q188" s="42"/>
      <c r="R188" s="42"/>
      <c r="S188" s="42"/>
      <c r="X188" s="42"/>
      <c r="Y188" s="42"/>
      <c r="Z188" s="42"/>
      <c r="AA188" s="42"/>
      <c r="AB188" s="42"/>
      <c r="AC188" s="42"/>
      <c r="AD188" s="42"/>
      <c r="AE188" s="42"/>
      <c r="AF188" s="42"/>
      <c r="AG188" s="42"/>
      <c r="AH188" s="42"/>
      <c r="AI188" s="42"/>
      <c r="AJ188" s="42"/>
      <c r="AK188" s="42"/>
      <c r="AL188" s="42"/>
      <c r="AM188" s="42"/>
      <c r="AN188" s="42"/>
      <c r="AO188" s="42"/>
      <c r="AP188" s="42"/>
    </row>
    <row r="189" spans="1:42" hidden="1" x14ac:dyDescent="0.2">
      <c r="A189" s="42"/>
      <c r="B189" s="42"/>
      <c r="C189" s="42"/>
      <c r="D189" s="42"/>
      <c r="E189" s="42"/>
      <c r="F189" s="42"/>
      <c r="G189" s="42"/>
      <c r="H189" s="42"/>
      <c r="I189" s="42"/>
      <c r="J189" s="42"/>
      <c r="K189" s="42"/>
      <c r="O189" s="42"/>
      <c r="P189" s="42"/>
      <c r="Q189" s="42"/>
      <c r="R189" s="42"/>
      <c r="S189" s="42"/>
      <c r="X189" s="42"/>
      <c r="Y189" s="42"/>
      <c r="Z189" s="42"/>
      <c r="AA189" s="42"/>
      <c r="AB189" s="42"/>
      <c r="AC189" s="42"/>
      <c r="AD189" s="42"/>
      <c r="AE189" s="42"/>
      <c r="AF189" s="42"/>
      <c r="AG189" s="42"/>
      <c r="AH189" s="42"/>
      <c r="AI189" s="42"/>
      <c r="AJ189" s="42"/>
      <c r="AK189" s="42"/>
      <c r="AL189" s="42"/>
      <c r="AM189" s="42"/>
      <c r="AN189" s="42"/>
      <c r="AO189" s="42"/>
      <c r="AP189" s="42"/>
    </row>
    <row r="190" spans="1:42" hidden="1" x14ac:dyDescent="0.2">
      <c r="A190" s="42"/>
      <c r="B190" s="42"/>
      <c r="C190" s="42"/>
      <c r="D190" s="42"/>
      <c r="E190" s="42"/>
      <c r="F190" s="42"/>
      <c r="G190" s="42"/>
      <c r="H190" s="42"/>
      <c r="I190" s="42"/>
      <c r="J190" s="42"/>
      <c r="K190" s="42"/>
      <c r="O190" s="42"/>
      <c r="P190" s="42"/>
      <c r="Q190" s="42"/>
      <c r="R190" s="42"/>
      <c r="S190" s="42"/>
      <c r="X190" s="42"/>
      <c r="Y190" s="42"/>
      <c r="Z190" s="42"/>
      <c r="AA190" s="42"/>
      <c r="AB190" s="42"/>
      <c r="AC190" s="42"/>
      <c r="AD190" s="42"/>
      <c r="AE190" s="42"/>
      <c r="AF190" s="42"/>
      <c r="AG190" s="42"/>
      <c r="AH190" s="42"/>
      <c r="AI190" s="42"/>
      <c r="AJ190" s="42"/>
      <c r="AK190" s="42"/>
      <c r="AL190" s="42"/>
      <c r="AM190" s="42"/>
      <c r="AN190" s="42"/>
      <c r="AO190" s="42"/>
      <c r="AP190" s="42"/>
    </row>
    <row r="191" spans="1:42" hidden="1" x14ac:dyDescent="0.2">
      <c r="A191" s="42"/>
      <c r="B191" s="42"/>
      <c r="C191" s="42"/>
      <c r="D191" s="42"/>
      <c r="E191" s="42"/>
      <c r="F191" s="42"/>
      <c r="G191" s="42"/>
      <c r="H191" s="42"/>
      <c r="I191" s="42"/>
      <c r="J191" s="42"/>
      <c r="K191" s="42"/>
      <c r="O191" s="42"/>
      <c r="P191" s="42"/>
      <c r="Q191" s="42"/>
      <c r="R191" s="42"/>
      <c r="S191" s="42"/>
      <c r="X191" s="42"/>
      <c r="Y191" s="42"/>
      <c r="Z191" s="42"/>
      <c r="AA191" s="42"/>
      <c r="AB191" s="42"/>
      <c r="AC191" s="42"/>
      <c r="AD191" s="42"/>
      <c r="AE191" s="42"/>
      <c r="AF191" s="42"/>
      <c r="AG191" s="42"/>
      <c r="AH191" s="42"/>
      <c r="AI191" s="42"/>
      <c r="AJ191" s="42"/>
      <c r="AK191" s="42"/>
      <c r="AL191" s="42"/>
      <c r="AM191" s="42"/>
      <c r="AN191" s="42"/>
      <c r="AO191" s="42"/>
      <c r="AP191" s="42"/>
    </row>
    <row r="192" spans="1:42" hidden="1" x14ac:dyDescent="0.2">
      <c r="A192" s="42"/>
      <c r="B192" s="42"/>
      <c r="C192" s="42"/>
      <c r="D192" s="42"/>
      <c r="E192" s="42"/>
      <c r="F192" s="42"/>
      <c r="G192" s="42"/>
      <c r="H192" s="42"/>
      <c r="I192" s="42"/>
      <c r="J192" s="42"/>
      <c r="K192" s="42"/>
      <c r="O192" s="42"/>
      <c r="P192" s="42"/>
      <c r="Q192" s="42"/>
      <c r="R192" s="42"/>
      <c r="S192" s="42"/>
      <c r="X192" s="42"/>
      <c r="Y192" s="42"/>
      <c r="Z192" s="42"/>
      <c r="AA192" s="42"/>
      <c r="AB192" s="42"/>
      <c r="AC192" s="42"/>
      <c r="AD192" s="42"/>
      <c r="AE192" s="42"/>
      <c r="AF192" s="42"/>
      <c r="AG192" s="42"/>
      <c r="AH192" s="42"/>
      <c r="AI192" s="42"/>
      <c r="AJ192" s="42"/>
      <c r="AK192" s="42"/>
      <c r="AL192" s="42"/>
      <c r="AM192" s="42"/>
      <c r="AN192" s="42"/>
      <c r="AO192" s="42"/>
      <c r="AP192" s="42"/>
    </row>
    <row r="193" spans="1:42" hidden="1" x14ac:dyDescent="0.2">
      <c r="A193" s="42"/>
      <c r="B193" s="42"/>
      <c r="C193" s="42"/>
      <c r="D193" s="42"/>
      <c r="E193" s="42"/>
      <c r="F193" s="42"/>
      <c r="G193" s="42"/>
      <c r="H193" s="42"/>
      <c r="I193" s="42"/>
      <c r="J193" s="42"/>
      <c r="K193" s="42"/>
      <c r="O193" s="42"/>
      <c r="P193" s="42"/>
      <c r="Q193" s="42"/>
      <c r="R193" s="42"/>
      <c r="S193" s="42"/>
      <c r="X193" s="42"/>
      <c r="Y193" s="42"/>
      <c r="Z193" s="42"/>
      <c r="AA193" s="42"/>
      <c r="AB193" s="42"/>
      <c r="AC193" s="42"/>
      <c r="AD193" s="42"/>
      <c r="AE193" s="42"/>
      <c r="AF193" s="42"/>
      <c r="AG193" s="42"/>
      <c r="AH193" s="42"/>
      <c r="AI193" s="42"/>
      <c r="AJ193" s="42"/>
      <c r="AK193" s="42"/>
      <c r="AL193" s="42"/>
      <c r="AM193" s="42"/>
      <c r="AN193" s="42"/>
      <c r="AO193" s="42"/>
      <c r="AP193" s="42"/>
    </row>
    <row r="194" spans="1:42" hidden="1" x14ac:dyDescent="0.2">
      <c r="A194" s="42"/>
      <c r="B194" s="42"/>
      <c r="C194" s="42"/>
      <c r="D194" s="42"/>
      <c r="E194" s="42"/>
      <c r="F194" s="42"/>
      <c r="G194" s="42"/>
      <c r="H194" s="42"/>
      <c r="I194" s="42"/>
      <c r="J194" s="42"/>
      <c r="K194" s="42"/>
      <c r="O194" s="42"/>
      <c r="P194" s="42"/>
      <c r="Q194" s="42"/>
      <c r="R194" s="42"/>
      <c r="S194" s="42"/>
      <c r="X194" s="42"/>
      <c r="Y194" s="42"/>
      <c r="Z194" s="42"/>
      <c r="AA194" s="42"/>
      <c r="AB194" s="42"/>
      <c r="AC194" s="42"/>
      <c r="AD194" s="42"/>
      <c r="AE194" s="42"/>
      <c r="AF194" s="42"/>
      <c r="AG194" s="42"/>
      <c r="AH194" s="42"/>
      <c r="AI194" s="42"/>
      <c r="AJ194" s="42"/>
      <c r="AK194" s="42"/>
      <c r="AL194" s="42"/>
      <c r="AM194" s="42"/>
      <c r="AN194" s="42"/>
      <c r="AO194" s="42"/>
      <c r="AP194" s="42"/>
    </row>
    <row r="195" spans="1:42" hidden="1" x14ac:dyDescent="0.2">
      <c r="A195" s="42"/>
      <c r="B195" s="42"/>
      <c r="C195" s="42"/>
      <c r="D195" s="42"/>
      <c r="E195" s="42"/>
      <c r="F195" s="42"/>
      <c r="G195" s="42"/>
      <c r="H195" s="42"/>
      <c r="I195" s="42"/>
      <c r="J195" s="42"/>
      <c r="K195" s="42"/>
      <c r="O195" s="42"/>
      <c r="P195" s="42"/>
      <c r="Q195" s="42"/>
      <c r="R195" s="42"/>
      <c r="S195" s="42"/>
      <c r="X195" s="42"/>
      <c r="Y195" s="42"/>
      <c r="Z195" s="42"/>
      <c r="AA195" s="42"/>
      <c r="AB195" s="42"/>
      <c r="AC195" s="42"/>
      <c r="AD195" s="42"/>
      <c r="AE195" s="42"/>
      <c r="AF195" s="42"/>
      <c r="AG195" s="42"/>
      <c r="AH195" s="42"/>
      <c r="AI195" s="42"/>
      <c r="AJ195" s="42"/>
      <c r="AK195" s="42"/>
      <c r="AL195" s="42"/>
      <c r="AM195" s="42"/>
      <c r="AN195" s="42"/>
      <c r="AO195" s="42"/>
      <c r="AP195" s="42"/>
    </row>
    <row r="196" spans="1:42" hidden="1" x14ac:dyDescent="0.2">
      <c r="A196" s="42"/>
      <c r="B196" s="42"/>
      <c r="C196" s="42"/>
      <c r="D196" s="42"/>
      <c r="E196" s="42"/>
      <c r="F196" s="42"/>
      <c r="G196" s="42"/>
      <c r="H196" s="42"/>
      <c r="I196" s="42"/>
      <c r="J196" s="42"/>
      <c r="K196" s="42"/>
      <c r="O196" s="42"/>
      <c r="P196" s="42"/>
      <c r="Q196" s="42"/>
      <c r="R196" s="42"/>
      <c r="S196" s="42"/>
      <c r="X196" s="42"/>
      <c r="Y196" s="42"/>
      <c r="Z196" s="42"/>
      <c r="AA196" s="42"/>
      <c r="AB196" s="42"/>
      <c r="AC196" s="42"/>
      <c r="AD196" s="42"/>
      <c r="AE196" s="42"/>
      <c r="AF196" s="42"/>
      <c r="AG196" s="42"/>
      <c r="AH196" s="42"/>
      <c r="AI196" s="42"/>
      <c r="AJ196" s="42"/>
      <c r="AK196" s="42"/>
      <c r="AL196" s="42"/>
      <c r="AM196" s="42"/>
      <c r="AN196" s="42"/>
      <c r="AO196" s="42"/>
      <c r="AP196" s="42"/>
    </row>
    <row r="197" spans="1:42" hidden="1" x14ac:dyDescent="0.2">
      <c r="A197" s="42"/>
      <c r="B197" s="42"/>
      <c r="C197" s="42"/>
      <c r="D197" s="42"/>
      <c r="E197" s="42"/>
      <c r="F197" s="42"/>
      <c r="G197" s="42"/>
      <c r="H197" s="42"/>
      <c r="I197" s="42"/>
      <c r="J197" s="42"/>
      <c r="K197" s="42"/>
      <c r="O197" s="42"/>
      <c r="P197" s="42"/>
      <c r="Q197" s="42"/>
      <c r="R197" s="42"/>
      <c r="S197" s="42"/>
      <c r="X197" s="42"/>
      <c r="Y197" s="42"/>
      <c r="Z197" s="42"/>
      <c r="AA197" s="42"/>
      <c r="AB197" s="42"/>
      <c r="AC197" s="42"/>
      <c r="AD197" s="42"/>
      <c r="AE197" s="42"/>
      <c r="AF197" s="42"/>
      <c r="AG197" s="42"/>
      <c r="AH197" s="42"/>
      <c r="AI197" s="42"/>
      <c r="AJ197" s="42"/>
      <c r="AK197" s="42"/>
      <c r="AL197" s="42"/>
      <c r="AM197" s="42"/>
      <c r="AN197" s="42"/>
      <c r="AO197" s="42"/>
      <c r="AP197" s="42"/>
    </row>
    <row r="198" spans="1:42" hidden="1" x14ac:dyDescent="0.2">
      <c r="A198" s="42"/>
      <c r="B198" s="42"/>
      <c r="C198" s="42"/>
      <c r="D198" s="42"/>
      <c r="E198" s="42"/>
      <c r="F198" s="42"/>
      <c r="G198" s="42"/>
      <c r="H198" s="42"/>
      <c r="I198" s="42"/>
      <c r="J198" s="42"/>
      <c r="K198" s="42"/>
      <c r="O198" s="42"/>
      <c r="P198" s="42"/>
      <c r="Q198" s="42"/>
      <c r="R198" s="42"/>
      <c r="S198" s="42"/>
      <c r="X198" s="42"/>
      <c r="Y198" s="42"/>
      <c r="Z198" s="42"/>
      <c r="AA198" s="42"/>
      <c r="AB198" s="42"/>
      <c r="AC198" s="42"/>
      <c r="AD198" s="42"/>
      <c r="AE198" s="42"/>
      <c r="AF198" s="42"/>
      <c r="AG198" s="42"/>
      <c r="AH198" s="42"/>
      <c r="AI198" s="42"/>
      <c r="AJ198" s="42"/>
      <c r="AK198" s="42"/>
      <c r="AL198" s="42"/>
      <c r="AM198" s="42"/>
      <c r="AN198" s="42"/>
      <c r="AO198" s="42"/>
      <c r="AP198" s="42"/>
    </row>
    <row r="199" spans="1:42" hidden="1" x14ac:dyDescent="0.2">
      <c r="A199" s="42"/>
      <c r="B199" s="42"/>
      <c r="C199" s="42"/>
      <c r="D199" s="42"/>
      <c r="E199" s="42"/>
      <c r="F199" s="42"/>
      <c r="G199" s="42"/>
      <c r="H199" s="42"/>
      <c r="I199" s="42"/>
      <c r="J199" s="42"/>
      <c r="K199" s="42"/>
      <c r="O199" s="42"/>
      <c r="P199" s="42"/>
      <c r="Q199" s="42"/>
      <c r="R199" s="42"/>
      <c r="S199" s="42"/>
      <c r="X199" s="42"/>
      <c r="Y199" s="42"/>
      <c r="Z199" s="42"/>
      <c r="AA199" s="42"/>
      <c r="AB199" s="42"/>
      <c r="AC199" s="42"/>
      <c r="AD199" s="42"/>
      <c r="AE199" s="42"/>
      <c r="AF199" s="42"/>
      <c r="AG199" s="42"/>
      <c r="AH199" s="42"/>
      <c r="AI199" s="42"/>
      <c r="AJ199" s="42"/>
      <c r="AK199" s="42"/>
      <c r="AL199" s="42"/>
      <c r="AM199" s="42"/>
      <c r="AN199" s="42"/>
      <c r="AO199" s="42"/>
      <c r="AP199" s="42"/>
    </row>
    <row r="200" spans="1:42" hidden="1" x14ac:dyDescent="0.2">
      <c r="A200" s="42"/>
      <c r="B200" s="42"/>
      <c r="C200" s="42"/>
      <c r="D200" s="42"/>
      <c r="E200" s="42"/>
      <c r="F200" s="42"/>
      <c r="G200" s="42"/>
      <c r="H200" s="42"/>
      <c r="I200" s="42"/>
      <c r="J200" s="42"/>
      <c r="K200" s="42"/>
      <c r="O200" s="42"/>
      <c r="P200" s="42"/>
      <c r="Q200" s="42"/>
      <c r="R200" s="42"/>
      <c r="S200" s="42"/>
      <c r="X200" s="42"/>
      <c r="Y200" s="42"/>
      <c r="Z200" s="42"/>
      <c r="AA200" s="42"/>
      <c r="AB200" s="42"/>
      <c r="AC200" s="42"/>
      <c r="AD200" s="42"/>
      <c r="AE200" s="42"/>
      <c r="AF200" s="42"/>
      <c r="AG200" s="42"/>
      <c r="AH200" s="42"/>
      <c r="AI200" s="42"/>
      <c r="AJ200" s="42"/>
      <c r="AK200" s="42"/>
      <c r="AL200" s="42"/>
      <c r="AM200" s="42"/>
      <c r="AN200" s="42"/>
      <c r="AO200" s="42"/>
      <c r="AP200" s="42"/>
    </row>
    <row r="201" spans="1:42" hidden="1" x14ac:dyDescent="0.2">
      <c r="A201" s="42"/>
      <c r="B201" s="42"/>
      <c r="C201" s="42"/>
      <c r="D201" s="42"/>
      <c r="E201" s="42"/>
      <c r="F201" s="42"/>
      <c r="G201" s="42"/>
      <c r="H201" s="42"/>
      <c r="I201" s="42"/>
      <c r="J201" s="42"/>
      <c r="K201" s="42"/>
      <c r="O201" s="42"/>
      <c r="P201" s="42"/>
      <c r="Q201" s="42"/>
      <c r="R201" s="42"/>
      <c r="S201" s="42"/>
      <c r="X201" s="42"/>
      <c r="Y201" s="42"/>
      <c r="Z201" s="42"/>
      <c r="AA201" s="42"/>
      <c r="AB201" s="42"/>
      <c r="AC201" s="42"/>
      <c r="AD201" s="42"/>
      <c r="AE201" s="42"/>
      <c r="AF201" s="42"/>
      <c r="AG201" s="42"/>
      <c r="AH201" s="42"/>
      <c r="AI201" s="42"/>
      <c r="AJ201" s="42"/>
      <c r="AK201" s="42"/>
      <c r="AL201" s="42"/>
      <c r="AM201" s="42"/>
      <c r="AN201" s="42"/>
      <c r="AO201" s="42"/>
      <c r="AP201" s="42"/>
    </row>
    <row r="202" spans="1:42" hidden="1" x14ac:dyDescent="0.2">
      <c r="A202" s="42"/>
      <c r="B202" s="42"/>
      <c r="C202" s="42"/>
      <c r="D202" s="42"/>
      <c r="E202" s="42"/>
      <c r="F202" s="42"/>
      <c r="G202" s="42"/>
      <c r="H202" s="42"/>
      <c r="I202" s="42"/>
      <c r="J202" s="42"/>
      <c r="K202" s="42"/>
      <c r="O202" s="42"/>
      <c r="P202" s="42"/>
      <c r="Q202" s="42"/>
      <c r="R202" s="42"/>
      <c r="S202" s="42"/>
      <c r="X202" s="42"/>
      <c r="Y202" s="42"/>
      <c r="Z202" s="42"/>
      <c r="AA202" s="42"/>
      <c r="AB202" s="42"/>
      <c r="AC202" s="42"/>
      <c r="AD202" s="42"/>
      <c r="AE202" s="42"/>
      <c r="AF202" s="42"/>
      <c r="AG202" s="42"/>
      <c r="AH202" s="42"/>
      <c r="AI202" s="42"/>
      <c r="AJ202" s="42"/>
      <c r="AK202" s="42"/>
      <c r="AL202" s="42"/>
      <c r="AM202" s="42"/>
      <c r="AN202" s="42"/>
      <c r="AO202" s="42"/>
      <c r="AP202" s="42"/>
    </row>
    <row r="203" spans="1:42" hidden="1" x14ac:dyDescent="0.2">
      <c r="A203" s="42"/>
      <c r="B203" s="42"/>
      <c r="C203" s="42"/>
      <c r="D203" s="42"/>
      <c r="E203" s="42"/>
      <c r="F203" s="42"/>
      <c r="G203" s="42"/>
      <c r="H203" s="42"/>
      <c r="I203" s="42"/>
      <c r="J203" s="42"/>
      <c r="K203" s="42"/>
      <c r="O203" s="42"/>
      <c r="P203" s="42"/>
      <c r="Q203" s="42"/>
      <c r="R203" s="42"/>
      <c r="S203" s="42"/>
      <c r="X203" s="42"/>
      <c r="Y203" s="42"/>
      <c r="Z203" s="42"/>
      <c r="AA203" s="42"/>
      <c r="AB203" s="42"/>
      <c r="AC203" s="42"/>
      <c r="AD203" s="42"/>
      <c r="AE203" s="42"/>
      <c r="AF203" s="42"/>
      <c r="AG203" s="42"/>
      <c r="AH203" s="42"/>
      <c r="AI203" s="42"/>
      <c r="AJ203" s="42"/>
      <c r="AK203" s="42"/>
      <c r="AL203" s="42"/>
      <c r="AM203" s="42"/>
      <c r="AN203" s="42"/>
      <c r="AO203" s="42"/>
      <c r="AP203" s="42"/>
    </row>
    <row r="204" spans="1:42" hidden="1" x14ac:dyDescent="0.2">
      <c r="A204" s="42"/>
      <c r="B204" s="42"/>
      <c r="C204" s="42"/>
      <c r="D204" s="42"/>
      <c r="E204" s="42"/>
      <c r="F204" s="42"/>
      <c r="G204" s="42"/>
      <c r="H204" s="42"/>
      <c r="I204" s="42"/>
      <c r="J204" s="42"/>
      <c r="K204" s="42"/>
      <c r="O204" s="42"/>
      <c r="P204" s="42"/>
      <c r="Q204" s="42"/>
      <c r="R204" s="42"/>
      <c r="S204" s="42"/>
      <c r="X204" s="42"/>
      <c r="Y204" s="42"/>
      <c r="Z204" s="42"/>
      <c r="AA204" s="42"/>
      <c r="AB204" s="42"/>
      <c r="AC204" s="42"/>
      <c r="AD204" s="42"/>
      <c r="AE204" s="42"/>
      <c r="AF204" s="42"/>
      <c r="AG204" s="42"/>
      <c r="AH204" s="42"/>
      <c r="AI204" s="42"/>
      <c r="AJ204" s="42"/>
      <c r="AK204" s="42"/>
      <c r="AL204" s="42"/>
      <c r="AM204" s="42"/>
      <c r="AN204" s="42"/>
      <c r="AO204" s="42"/>
      <c r="AP204" s="42"/>
    </row>
    <row r="205" spans="1:42" hidden="1" x14ac:dyDescent="0.2">
      <c r="A205" s="42"/>
      <c r="B205" s="42"/>
      <c r="C205" s="42"/>
      <c r="D205" s="42"/>
      <c r="E205" s="42"/>
      <c r="F205" s="42"/>
      <c r="G205" s="42"/>
      <c r="H205" s="42"/>
      <c r="I205" s="42"/>
      <c r="J205" s="42"/>
      <c r="K205" s="42"/>
      <c r="O205" s="42"/>
      <c r="P205" s="42"/>
      <c r="Q205" s="42"/>
      <c r="R205" s="42"/>
      <c r="S205" s="42"/>
      <c r="X205" s="42"/>
      <c r="Y205" s="42"/>
      <c r="Z205" s="42"/>
      <c r="AA205" s="42"/>
      <c r="AB205" s="42"/>
      <c r="AC205" s="42"/>
      <c r="AD205" s="42"/>
      <c r="AE205" s="42"/>
      <c r="AF205" s="42"/>
      <c r="AG205" s="42"/>
      <c r="AH205" s="42"/>
      <c r="AI205" s="42"/>
      <c r="AJ205" s="42"/>
      <c r="AK205" s="42"/>
      <c r="AL205" s="42"/>
      <c r="AM205" s="42"/>
      <c r="AN205" s="42"/>
      <c r="AO205" s="42"/>
      <c r="AP205" s="42"/>
    </row>
    <row r="206" spans="1:42" hidden="1" x14ac:dyDescent="0.2">
      <c r="A206" s="42"/>
      <c r="B206" s="42"/>
      <c r="C206" s="42"/>
      <c r="D206" s="42"/>
      <c r="E206" s="42"/>
      <c r="F206" s="42"/>
      <c r="G206" s="42"/>
      <c r="H206" s="42"/>
      <c r="I206" s="42"/>
      <c r="J206" s="42"/>
      <c r="K206" s="42"/>
      <c r="O206" s="42"/>
      <c r="P206" s="42"/>
      <c r="Q206" s="42"/>
      <c r="R206" s="42"/>
      <c r="S206" s="42"/>
      <c r="X206" s="42"/>
      <c r="Y206" s="42"/>
      <c r="Z206" s="42"/>
      <c r="AA206" s="42"/>
      <c r="AB206" s="42"/>
      <c r="AC206" s="42"/>
      <c r="AD206" s="42"/>
      <c r="AE206" s="42"/>
      <c r="AF206" s="42"/>
      <c r="AG206" s="42"/>
      <c r="AH206" s="42"/>
      <c r="AI206" s="42"/>
      <c r="AJ206" s="42"/>
      <c r="AK206" s="42"/>
      <c r="AL206" s="42"/>
      <c r="AM206" s="42"/>
      <c r="AN206" s="42"/>
      <c r="AO206" s="42"/>
      <c r="AP206" s="42"/>
    </row>
    <row r="207" spans="1:42" hidden="1" x14ac:dyDescent="0.2">
      <c r="A207" s="42"/>
      <c r="B207" s="42"/>
      <c r="C207" s="42"/>
      <c r="D207" s="42"/>
      <c r="E207" s="42"/>
      <c r="F207" s="42"/>
      <c r="G207" s="42"/>
      <c r="H207" s="42"/>
      <c r="I207" s="42"/>
      <c r="J207" s="42"/>
      <c r="K207" s="42"/>
      <c r="O207" s="42"/>
      <c r="P207" s="42"/>
      <c r="Q207" s="42"/>
      <c r="R207" s="42"/>
      <c r="S207" s="42"/>
      <c r="X207" s="42"/>
      <c r="Y207" s="42"/>
      <c r="Z207" s="42"/>
      <c r="AA207" s="42"/>
      <c r="AB207" s="42"/>
      <c r="AC207" s="42"/>
      <c r="AD207" s="42"/>
      <c r="AE207" s="42"/>
      <c r="AF207" s="42"/>
      <c r="AG207" s="42"/>
      <c r="AH207" s="42"/>
      <c r="AI207" s="42"/>
      <c r="AJ207" s="42"/>
      <c r="AK207" s="42"/>
      <c r="AL207" s="42"/>
      <c r="AM207" s="42"/>
      <c r="AN207" s="42"/>
      <c r="AO207" s="42"/>
      <c r="AP207" s="42"/>
    </row>
    <row r="208" spans="1:42" hidden="1" x14ac:dyDescent="0.2">
      <c r="A208" s="42"/>
      <c r="B208" s="42"/>
      <c r="C208" s="42"/>
      <c r="D208" s="42"/>
      <c r="E208" s="42"/>
      <c r="F208" s="42"/>
      <c r="G208" s="42"/>
      <c r="H208" s="42"/>
      <c r="I208" s="42"/>
      <c r="J208" s="42"/>
      <c r="K208" s="42"/>
      <c r="O208" s="42"/>
      <c r="P208" s="42"/>
      <c r="Q208" s="42"/>
      <c r="R208" s="42"/>
      <c r="S208" s="42"/>
      <c r="X208" s="42"/>
      <c r="Y208" s="42"/>
      <c r="Z208" s="42"/>
      <c r="AA208" s="42"/>
      <c r="AB208" s="42"/>
      <c r="AC208" s="42"/>
      <c r="AD208" s="42"/>
      <c r="AE208" s="42"/>
      <c r="AF208" s="42"/>
      <c r="AG208" s="42"/>
      <c r="AH208" s="42"/>
      <c r="AI208" s="42"/>
      <c r="AJ208" s="42"/>
      <c r="AK208" s="42"/>
      <c r="AL208" s="42"/>
      <c r="AM208" s="42"/>
      <c r="AN208" s="42"/>
      <c r="AO208" s="42"/>
      <c r="AP208" s="42"/>
    </row>
    <row r="209" spans="1:42" hidden="1" x14ac:dyDescent="0.2">
      <c r="A209" s="42"/>
      <c r="B209" s="42"/>
      <c r="C209" s="42"/>
      <c r="D209" s="42"/>
      <c r="E209" s="42"/>
      <c r="F209" s="42"/>
      <c r="G209" s="42"/>
      <c r="H209" s="42"/>
      <c r="I209" s="42"/>
      <c r="J209" s="42"/>
      <c r="K209" s="42"/>
      <c r="O209" s="42"/>
      <c r="P209" s="42"/>
      <c r="Q209" s="42"/>
      <c r="R209" s="42"/>
      <c r="S209" s="42"/>
      <c r="X209" s="42"/>
      <c r="Y209" s="42"/>
      <c r="Z209" s="42"/>
      <c r="AA209" s="42"/>
      <c r="AB209" s="42"/>
      <c r="AC209" s="42"/>
      <c r="AD209" s="42"/>
      <c r="AE209" s="42"/>
      <c r="AF209" s="42"/>
      <c r="AG209" s="42"/>
      <c r="AH209" s="42"/>
      <c r="AI209" s="42"/>
      <c r="AJ209" s="42"/>
      <c r="AK209" s="42"/>
      <c r="AL209" s="42"/>
      <c r="AM209" s="42"/>
      <c r="AN209" s="42"/>
      <c r="AO209" s="42"/>
      <c r="AP209" s="42"/>
    </row>
    <row r="210" spans="1:42" hidden="1" x14ac:dyDescent="0.2">
      <c r="A210" s="42"/>
      <c r="B210" s="42"/>
      <c r="C210" s="42"/>
      <c r="D210" s="42"/>
      <c r="E210" s="42"/>
      <c r="F210" s="42"/>
      <c r="G210" s="42"/>
      <c r="H210" s="42"/>
      <c r="I210" s="42"/>
      <c r="J210" s="42"/>
      <c r="K210" s="42"/>
      <c r="O210" s="42"/>
      <c r="P210" s="42"/>
      <c r="Q210" s="42"/>
      <c r="R210" s="42"/>
      <c r="S210" s="42"/>
      <c r="X210" s="42"/>
      <c r="Y210" s="42"/>
      <c r="Z210" s="42"/>
      <c r="AA210" s="42"/>
      <c r="AB210" s="42"/>
      <c r="AC210" s="42"/>
      <c r="AD210" s="42"/>
      <c r="AE210" s="42"/>
      <c r="AF210" s="42"/>
      <c r="AG210" s="42"/>
      <c r="AH210" s="42"/>
      <c r="AI210" s="42"/>
      <c r="AJ210" s="42"/>
      <c r="AK210" s="42"/>
      <c r="AL210" s="42"/>
      <c r="AM210" s="42"/>
      <c r="AN210" s="42"/>
      <c r="AO210" s="42"/>
      <c r="AP210" s="42"/>
    </row>
    <row r="211" spans="1:42" hidden="1" x14ac:dyDescent="0.2">
      <c r="A211" s="42"/>
      <c r="B211" s="42"/>
      <c r="C211" s="42"/>
      <c r="D211" s="42"/>
      <c r="E211" s="42"/>
      <c r="F211" s="42"/>
      <c r="G211" s="42"/>
      <c r="H211" s="42"/>
      <c r="I211" s="42"/>
      <c r="J211" s="42"/>
      <c r="K211" s="42"/>
      <c r="O211" s="42"/>
      <c r="P211" s="42"/>
      <c r="Q211" s="42"/>
      <c r="R211" s="42"/>
      <c r="S211" s="42"/>
      <c r="X211" s="42"/>
      <c r="Y211" s="42"/>
      <c r="Z211" s="42"/>
      <c r="AA211" s="42"/>
      <c r="AB211" s="42"/>
      <c r="AC211" s="42"/>
      <c r="AD211" s="42"/>
      <c r="AE211" s="42"/>
      <c r="AF211" s="42"/>
      <c r="AG211" s="42"/>
      <c r="AH211" s="42"/>
      <c r="AI211" s="42"/>
      <c r="AJ211" s="42"/>
      <c r="AK211" s="42"/>
      <c r="AL211" s="42"/>
      <c r="AM211" s="42"/>
      <c r="AN211" s="42"/>
      <c r="AO211" s="42"/>
      <c r="AP211" s="42"/>
    </row>
    <row r="212" spans="1:42" hidden="1" x14ac:dyDescent="0.2">
      <c r="A212" s="42"/>
      <c r="B212" s="42"/>
      <c r="C212" s="42"/>
      <c r="D212" s="42"/>
      <c r="E212" s="42"/>
      <c r="F212" s="42"/>
      <c r="G212" s="42"/>
      <c r="H212" s="42"/>
      <c r="I212" s="42"/>
      <c r="J212" s="42"/>
      <c r="K212" s="42"/>
      <c r="O212" s="42"/>
      <c r="P212" s="42"/>
      <c r="Q212" s="42"/>
      <c r="R212" s="42"/>
      <c r="S212" s="42"/>
      <c r="X212" s="42"/>
      <c r="Y212" s="42"/>
      <c r="Z212" s="42"/>
      <c r="AA212" s="42"/>
      <c r="AB212" s="42"/>
      <c r="AC212" s="42"/>
      <c r="AD212" s="42"/>
      <c r="AE212" s="42"/>
      <c r="AF212" s="42"/>
      <c r="AG212" s="42"/>
      <c r="AH212" s="42"/>
      <c r="AI212" s="42"/>
      <c r="AJ212" s="42"/>
      <c r="AK212" s="42"/>
      <c r="AL212" s="42"/>
      <c r="AM212" s="42"/>
      <c r="AN212" s="42"/>
      <c r="AO212" s="42"/>
      <c r="AP212" s="42"/>
    </row>
    <row r="213" spans="1:42" hidden="1" x14ac:dyDescent="0.2">
      <c r="A213" s="42"/>
      <c r="B213" s="42"/>
      <c r="C213" s="42"/>
      <c r="D213" s="42"/>
      <c r="E213" s="42"/>
      <c r="F213" s="42"/>
      <c r="G213" s="42"/>
      <c r="H213" s="42"/>
      <c r="I213" s="42"/>
      <c r="J213" s="42"/>
      <c r="K213" s="42"/>
      <c r="O213" s="42"/>
      <c r="P213" s="42"/>
      <c r="Q213" s="42"/>
      <c r="R213" s="42"/>
      <c r="S213" s="42"/>
      <c r="X213" s="42"/>
      <c r="Y213" s="42"/>
      <c r="Z213" s="42"/>
      <c r="AA213" s="42"/>
      <c r="AB213" s="42"/>
      <c r="AC213" s="42"/>
      <c r="AD213" s="42"/>
      <c r="AE213" s="42"/>
      <c r="AF213" s="42"/>
      <c r="AG213" s="42"/>
      <c r="AH213" s="42"/>
      <c r="AI213" s="42"/>
      <c r="AJ213" s="42"/>
      <c r="AK213" s="42"/>
      <c r="AL213" s="42"/>
      <c r="AM213" s="42"/>
      <c r="AN213" s="42"/>
      <c r="AO213" s="42"/>
      <c r="AP213" s="42"/>
    </row>
    <row r="214" spans="1:42" hidden="1" x14ac:dyDescent="0.2">
      <c r="A214" s="42"/>
      <c r="B214" s="42"/>
      <c r="C214" s="42"/>
      <c r="D214" s="42"/>
      <c r="E214" s="42"/>
      <c r="F214" s="42"/>
      <c r="G214" s="42"/>
      <c r="H214" s="42"/>
      <c r="I214" s="42"/>
      <c r="J214" s="42"/>
      <c r="K214" s="42"/>
      <c r="O214" s="42"/>
      <c r="P214" s="42"/>
      <c r="Q214" s="42"/>
      <c r="R214" s="42"/>
      <c r="S214" s="42"/>
      <c r="X214" s="42"/>
      <c r="Y214" s="42"/>
      <c r="Z214" s="42"/>
      <c r="AA214" s="42"/>
      <c r="AB214" s="42"/>
      <c r="AC214" s="42"/>
      <c r="AD214" s="42"/>
      <c r="AE214" s="42"/>
      <c r="AF214" s="42"/>
      <c r="AG214" s="42"/>
      <c r="AH214" s="42"/>
      <c r="AI214" s="42"/>
      <c r="AJ214" s="42"/>
      <c r="AK214" s="42"/>
      <c r="AL214" s="42"/>
      <c r="AM214" s="42"/>
      <c r="AN214" s="42"/>
      <c r="AO214" s="42"/>
      <c r="AP214" s="42"/>
    </row>
    <row r="215" spans="1:42" hidden="1" x14ac:dyDescent="0.2">
      <c r="A215" s="42"/>
      <c r="B215" s="42"/>
      <c r="C215" s="42"/>
      <c r="D215" s="42"/>
      <c r="E215" s="42"/>
      <c r="F215" s="42"/>
      <c r="G215" s="42"/>
      <c r="H215" s="42"/>
      <c r="I215" s="42"/>
      <c r="J215" s="42"/>
      <c r="K215" s="42"/>
      <c r="O215" s="42"/>
      <c r="P215" s="42"/>
      <c r="Q215" s="42"/>
      <c r="R215" s="42"/>
      <c r="S215" s="42"/>
      <c r="X215" s="42"/>
      <c r="Y215" s="42"/>
      <c r="Z215" s="42"/>
      <c r="AA215" s="42"/>
      <c r="AB215" s="42"/>
      <c r="AC215" s="42"/>
      <c r="AD215" s="42"/>
      <c r="AE215" s="42"/>
      <c r="AF215" s="42"/>
      <c r="AG215" s="42"/>
      <c r="AH215" s="42"/>
      <c r="AI215" s="42"/>
      <c r="AJ215" s="42"/>
      <c r="AK215" s="42"/>
      <c r="AL215" s="42"/>
      <c r="AM215" s="42"/>
      <c r="AN215" s="42"/>
      <c r="AO215" s="42"/>
      <c r="AP215" s="42"/>
    </row>
    <row r="216" spans="1:42" hidden="1" x14ac:dyDescent="0.2">
      <c r="A216" s="42"/>
      <c r="B216" s="42"/>
      <c r="C216" s="42"/>
      <c r="D216" s="42"/>
      <c r="E216" s="42"/>
      <c r="F216" s="42"/>
      <c r="G216" s="42"/>
      <c r="H216" s="42"/>
      <c r="I216" s="42"/>
      <c r="J216" s="42"/>
      <c r="K216" s="42"/>
      <c r="O216" s="42"/>
      <c r="P216" s="42"/>
      <c r="Q216" s="42"/>
      <c r="R216" s="42"/>
      <c r="S216" s="42"/>
      <c r="X216" s="42"/>
      <c r="Y216" s="42"/>
      <c r="Z216" s="42"/>
      <c r="AA216" s="42"/>
      <c r="AB216" s="42"/>
      <c r="AC216" s="42"/>
      <c r="AD216" s="42"/>
      <c r="AE216" s="42"/>
      <c r="AF216" s="42"/>
      <c r="AG216" s="42"/>
      <c r="AH216" s="42"/>
      <c r="AI216" s="42"/>
      <c r="AJ216" s="42"/>
      <c r="AK216" s="42"/>
      <c r="AL216" s="42"/>
      <c r="AM216" s="42"/>
      <c r="AN216" s="42"/>
      <c r="AO216" s="42"/>
      <c r="AP216" s="42"/>
    </row>
    <row r="217" spans="1:42" hidden="1" x14ac:dyDescent="0.2">
      <c r="A217" s="42"/>
      <c r="B217" s="42"/>
      <c r="C217" s="42"/>
      <c r="D217" s="42"/>
      <c r="E217" s="42"/>
      <c r="F217" s="42"/>
      <c r="G217" s="42"/>
      <c r="H217" s="42"/>
      <c r="I217" s="42"/>
      <c r="J217" s="42"/>
      <c r="K217" s="42"/>
      <c r="O217" s="42"/>
      <c r="P217" s="42"/>
      <c r="Q217" s="42"/>
      <c r="R217" s="42"/>
      <c r="S217" s="42"/>
      <c r="X217" s="42"/>
      <c r="Y217" s="42"/>
      <c r="Z217" s="42"/>
      <c r="AA217" s="42"/>
      <c r="AB217" s="42"/>
      <c r="AC217" s="42"/>
      <c r="AD217" s="42"/>
      <c r="AE217" s="42"/>
      <c r="AF217" s="42"/>
      <c r="AG217" s="42"/>
      <c r="AH217" s="42"/>
      <c r="AI217" s="42"/>
      <c r="AJ217" s="42"/>
      <c r="AK217" s="42"/>
      <c r="AL217" s="42"/>
      <c r="AM217" s="42"/>
      <c r="AN217" s="42"/>
      <c r="AO217" s="42"/>
      <c r="AP217" s="42"/>
    </row>
    <row r="218" spans="1:42" hidden="1" x14ac:dyDescent="0.2">
      <c r="A218" s="42"/>
      <c r="B218" s="42"/>
      <c r="C218" s="42"/>
      <c r="D218" s="42"/>
      <c r="E218" s="42"/>
      <c r="F218" s="42"/>
      <c r="G218" s="42"/>
      <c r="H218" s="42"/>
      <c r="I218" s="42"/>
      <c r="J218" s="42"/>
      <c r="K218" s="42"/>
      <c r="O218" s="42"/>
      <c r="P218" s="42"/>
      <c r="Q218" s="42"/>
      <c r="R218" s="42"/>
      <c r="S218" s="42"/>
      <c r="X218" s="42"/>
      <c r="Y218" s="42"/>
      <c r="Z218" s="42"/>
      <c r="AA218" s="42"/>
      <c r="AB218" s="42"/>
      <c r="AC218" s="42"/>
      <c r="AD218" s="42"/>
      <c r="AE218" s="42"/>
      <c r="AF218" s="42"/>
      <c r="AG218" s="42"/>
      <c r="AH218" s="42"/>
      <c r="AI218" s="42"/>
      <c r="AJ218" s="42"/>
      <c r="AK218" s="42"/>
      <c r="AL218" s="42"/>
      <c r="AM218" s="42"/>
      <c r="AN218" s="42"/>
      <c r="AO218" s="42"/>
      <c r="AP218" s="42"/>
    </row>
    <row r="219" spans="1:42" hidden="1" x14ac:dyDescent="0.2">
      <c r="A219" s="42"/>
      <c r="B219" s="42"/>
      <c r="C219" s="42"/>
      <c r="D219" s="42"/>
      <c r="E219" s="42"/>
      <c r="F219" s="42"/>
      <c r="G219" s="42"/>
      <c r="H219" s="42"/>
      <c r="I219" s="42"/>
      <c r="J219" s="42"/>
      <c r="K219" s="42"/>
      <c r="O219" s="42"/>
      <c r="P219" s="42"/>
      <c r="Q219" s="42"/>
      <c r="R219" s="42"/>
      <c r="S219" s="42"/>
      <c r="X219" s="42"/>
      <c r="Y219" s="42"/>
      <c r="Z219" s="42"/>
      <c r="AA219" s="42"/>
      <c r="AB219" s="42"/>
      <c r="AC219" s="42"/>
      <c r="AD219" s="42"/>
      <c r="AE219" s="42"/>
      <c r="AF219" s="42"/>
      <c r="AG219" s="42"/>
      <c r="AH219" s="42"/>
      <c r="AI219" s="42"/>
      <c r="AJ219" s="42"/>
      <c r="AK219" s="42"/>
      <c r="AL219" s="42"/>
      <c r="AM219" s="42"/>
      <c r="AN219" s="42"/>
      <c r="AO219" s="42"/>
      <c r="AP219" s="42"/>
    </row>
    <row r="220" spans="1:42" hidden="1" x14ac:dyDescent="0.2">
      <c r="A220" s="42"/>
      <c r="B220" s="42"/>
      <c r="C220" s="42"/>
      <c r="D220" s="42"/>
      <c r="E220" s="42"/>
      <c r="F220" s="42"/>
      <c r="G220" s="42"/>
      <c r="H220" s="42"/>
      <c r="I220" s="42"/>
      <c r="J220" s="42"/>
      <c r="K220" s="42"/>
      <c r="O220" s="42"/>
      <c r="P220" s="42"/>
      <c r="Q220" s="42"/>
      <c r="R220" s="42"/>
      <c r="S220" s="42"/>
      <c r="X220" s="42"/>
      <c r="Y220" s="42"/>
      <c r="Z220" s="42"/>
      <c r="AA220" s="42"/>
      <c r="AB220" s="42"/>
      <c r="AC220" s="42"/>
      <c r="AD220" s="42"/>
      <c r="AE220" s="42"/>
      <c r="AF220" s="42"/>
      <c r="AG220" s="42"/>
      <c r="AH220" s="42"/>
      <c r="AI220" s="42"/>
      <c r="AJ220" s="42"/>
      <c r="AK220" s="42"/>
      <c r="AL220" s="42"/>
      <c r="AM220" s="42"/>
      <c r="AN220" s="42"/>
      <c r="AO220" s="42"/>
      <c r="AP220" s="42"/>
    </row>
    <row r="221" spans="1:42" hidden="1" x14ac:dyDescent="0.2">
      <c r="A221" s="42"/>
      <c r="B221" s="42"/>
      <c r="C221" s="42"/>
      <c r="D221" s="42"/>
      <c r="E221" s="42"/>
      <c r="F221" s="42"/>
      <c r="G221" s="42"/>
      <c r="H221" s="42"/>
      <c r="I221" s="42"/>
      <c r="J221" s="42"/>
      <c r="K221" s="42"/>
      <c r="O221" s="42"/>
      <c r="P221" s="42"/>
      <c r="Q221" s="42"/>
      <c r="R221" s="42"/>
      <c r="S221" s="42"/>
      <c r="X221" s="42"/>
      <c r="Y221" s="42"/>
      <c r="Z221" s="42"/>
      <c r="AA221" s="42"/>
      <c r="AB221" s="42"/>
      <c r="AC221" s="42"/>
      <c r="AD221" s="42"/>
      <c r="AE221" s="42"/>
      <c r="AF221" s="42"/>
      <c r="AG221" s="42"/>
      <c r="AH221" s="42"/>
      <c r="AI221" s="42"/>
      <c r="AJ221" s="42"/>
      <c r="AK221" s="42"/>
      <c r="AL221" s="42"/>
      <c r="AM221" s="42"/>
      <c r="AN221" s="42"/>
      <c r="AO221" s="42"/>
      <c r="AP221" s="42"/>
    </row>
    <row r="222" spans="1:42" hidden="1" x14ac:dyDescent="0.2">
      <c r="A222" s="42"/>
      <c r="B222" s="42"/>
      <c r="C222" s="42"/>
      <c r="D222" s="42"/>
      <c r="E222" s="42"/>
      <c r="F222" s="42"/>
      <c r="G222" s="42"/>
      <c r="H222" s="42"/>
      <c r="I222" s="42"/>
      <c r="J222" s="42"/>
      <c r="K222" s="42"/>
      <c r="O222" s="42"/>
      <c r="P222" s="42"/>
      <c r="Q222" s="42"/>
      <c r="R222" s="42"/>
      <c r="S222" s="42"/>
      <c r="X222" s="42"/>
      <c r="Y222" s="42"/>
      <c r="Z222" s="42"/>
      <c r="AA222" s="42"/>
      <c r="AB222" s="42"/>
      <c r="AC222" s="42"/>
      <c r="AD222" s="42"/>
      <c r="AE222" s="42"/>
      <c r="AF222" s="42"/>
      <c r="AG222" s="42"/>
      <c r="AH222" s="42"/>
      <c r="AI222" s="42"/>
      <c r="AJ222" s="42"/>
      <c r="AK222" s="42"/>
      <c r="AL222" s="42"/>
      <c r="AM222" s="42"/>
      <c r="AN222" s="42"/>
      <c r="AO222" s="42"/>
      <c r="AP222" s="42"/>
    </row>
    <row r="223" spans="1:42" hidden="1" x14ac:dyDescent="0.2">
      <c r="A223" s="42"/>
      <c r="B223" s="42"/>
      <c r="C223" s="42"/>
      <c r="D223" s="42"/>
      <c r="E223" s="42"/>
      <c r="F223" s="42"/>
      <c r="G223" s="42"/>
      <c r="H223" s="42"/>
      <c r="I223" s="42"/>
      <c r="J223" s="42"/>
      <c r="K223" s="42"/>
      <c r="O223" s="42"/>
      <c r="P223" s="42"/>
      <c r="Q223" s="42"/>
      <c r="R223" s="42"/>
      <c r="S223" s="42"/>
      <c r="X223" s="42"/>
      <c r="Y223" s="42"/>
      <c r="Z223" s="42"/>
      <c r="AA223" s="42"/>
      <c r="AB223" s="42"/>
      <c r="AC223" s="42"/>
      <c r="AD223" s="42"/>
      <c r="AE223" s="42"/>
      <c r="AF223" s="42"/>
      <c r="AG223" s="42"/>
      <c r="AH223" s="42"/>
      <c r="AI223" s="42"/>
      <c r="AJ223" s="42"/>
      <c r="AK223" s="42"/>
      <c r="AL223" s="42"/>
      <c r="AM223" s="42"/>
      <c r="AN223" s="42"/>
      <c r="AO223" s="42"/>
      <c r="AP223" s="42"/>
    </row>
    <row r="224" spans="1:42" hidden="1" x14ac:dyDescent="0.2">
      <c r="A224" s="42"/>
      <c r="B224" s="42"/>
      <c r="C224" s="42"/>
      <c r="D224" s="42"/>
      <c r="E224" s="42"/>
      <c r="F224" s="42"/>
      <c r="G224" s="42"/>
      <c r="H224" s="42"/>
      <c r="I224" s="42"/>
      <c r="J224" s="42"/>
      <c r="K224" s="42"/>
      <c r="O224" s="42"/>
      <c r="P224" s="42"/>
      <c r="Q224" s="42"/>
      <c r="R224" s="42"/>
      <c r="S224" s="42"/>
      <c r="X224" s="42"/>
      <c r="Y224" s="42"/>
      <c r="Z224" s="42"/>
      <c r="AA224" s="42"/>
      <c r="AB224" s="42"/>
      <c r="AC224" s="42"/>
      <c r="AD224" s="42"/>
      <c r="AE224" s="42"/>
      <c r="AF224" s="42"/>
      <c r="AG224" s="42"/>
      <c r="AH224" s="42"/>
      <c r="AI224" s="42"/>
      <c r="AJ224" s="42"/>
      <c r="AK224" s="42"/>
      <c r="AL224" s="42"/>
      <c r="AM224" s="42"/>
      <c r="AN224" s="42"/>
      <c r="AO224" s="42"/>
      <c r="AP224" s="42"/>
    </row>
    <row r="225" spans="1:42" hidden="1" x14ac:dyDescent="0.2">
      <c r="A225" s="42"/>
      <c r="B225" s="42"/>
      <c r="C225" s="42"/>
      <c r="D225" s="42"/>
      <c r="E225" s="42"/>
      <c r="F225" s="42"/>
      <c r="G225" s="42"/>
      <c r="H225" s="42"/>
      <c r="I225" s="42"/>
      <c r="J225" s="42"/>
      <c r="K225" s="42"/>
      <c r="O225" s="42"/>
      <c r="P225" s="42"/>
      <c r="Q225" s="42"/>
      <c r="R225" s="42"/>
      <c r="S225" s="42"/>
      <c r="X225" s="42"/>
      <c r="Y225" s="42"/>
      <c r="Z225" s="42"/>
      <c r="AA225" s="42"/>
      <c r="AB225" s="42"/>
      <c r="AC225" s="42"/>
      <c r="AD225" s="42"/>
      <c r="AE225" s="42"/>
      <c r="AF225" s="42"/>
      <c r="AG225" s="42"/>
      <c r="AH225" s="42"/>
      <c r="AI225" s="42"/>
      <c r="AJ225" s="42"/>
      <c r="AK225" s="42"/>
      <c r="AL225" s="42"/>
      <c r="AM225" s="42"/>
      <c r="AN225" s="42"/>
      <c r="AO225" s="42"/>
      <c r="AP225" s="42"/>
    </row>
    <row r="226" spans="1:42" hidden="1" x14ac:dyDescent="0.2">
      <c r="A226" s="42"/>
      <c r="B226" s="42"/>
      <c r="C226" s="42"/>
      <c r="D226" s="42"/>
      <c r="E226" s="42"/>
      <c r="F226" s="42"/>
      <c r="G226" s="42"/>
      <c r="H226" s="42"/>
      <c r="I226" s="42"/>
      <c r="J226" s="42"/>
      <c r="K226" s="42"/>
      <c r="O226" s="42"/>
      <c r="P226" s="42"/>
      <c r="Q226" s="42"/>
      <c r="R226" s="42"/>
      <c r="S226" s="42"/>
      <c r="X226" s="42"/>
      <c r="Y226" s="42"/>
      <c r="Z226" s="42"/>
      <c r="AA226" s="42"/>
      <c r="AB226" s="42"/>
      <c r="AC226" s="42"/>
      <c r="AD226" s="42"/>
      <c r="AE226" s="42"/>
      <c r="AF226" s="42"/>
      <c r="AG226" s="42"/>
      <c r="AH226" s="42"/>
      <c r="AI226" s="42"/>
      <c r="AJ226" s="42"/>
      <c r="AK226" s="42"/>
      <c r="AL226" s="42"/>
      <c r="AM226" s="42"/>
      <c r="AN226" s="42"/>
      <c r="AO226" s="42"/>
      <c r="AP226" s="42"/>
    </row>
    <row r="227" spans="1:42" hidden="1" x14ac:dyDescent="0.2">
      <c r="A227" s="42"/>
      <c r="B227" s="42"/>
      <c r="C227" s="42"/>
      <c r="D227" s="42"/>
      <c r="E227" s="42"/>
      <c r="F227" s="42"/>
      <c r="G227" s="42"/>
      <c r="H227" s="42"/>
      <c r="I227" s="42"/>
      <c r="J227" s="42"/>
      <c r="K227" s="42"/>
      <c r="O227" s="42"/>
      <c r="P227" s="42"/>
      <c r="Q227" s="42"/>
      <c r="R227" s="42"/>
      <c r="S227" s="42"/>
      <c r="X227" s="42"/>
      <c r="Y227" s="42"/>
      <c r="Z227" s="42"/>
      <c r="AA227" s="42"/>
      <c r="AB227" s="42"/>
      <c r="AC227" s="42"/>
      <c r="AD227" s="42"/>
      <c r="AE227" s="42"/>
      <c r="AF227" s="42"/>
      <c r="AG227" s="42"/>
      <c r="AH227" s="42"/>
      <c r="AI227" s="42"/>
      <c r="AJ227" s="42"/>
      <c r="AK227" s="42"/>
      <c r="AL227" s="42"/>
      <c r="AM227" s="42"/>
      <c r="AN227" s="42"/>
      <c r="AO227" s="42"/>
      <c r="AP227" s="42"/>
    </row>
    <row r="228" spans="1:42" hidden="1" x14ac:dyDescent="0.2">
      <c r="A228" s="42"/>
      <c r="B228" s="42"/>
      <c r="C228" s="42"/>
      <c r="D228" s="42"/>
      <c r="E228" s="42"/>
      <c r="F228" s="42"/>
      <c r="G228" s="42"/>
      <c r="H228" s="42"/>
      <c r="I228" s="42"/>
      <c r="J228" s="42"/>
      <c r="K228" s="42"/>
      <c r="O228" s="42"/>
      <c r="P228" s="42"/>
      <c r="Q228" s="42"/>
      <c r="R228" s="42"/>
      <c r="S228" s="42"/>
      <c r="X228" s="42"/>
      <c r="Y228" s="42"/>
      <c r="Z228" s="42"/>
      <c r="AA228" s="42"/>
      <c r="AB228" s="42"/>
      <c r="AC228" s="42"/>
      <c r="AD228" s="42"/>
      <c r="AE228" s="42"/>
      <c r="AF228" s="42"/>
      <c r="AG228" s="42"/>
      <c r="AH228" s="42"/>
      <c r="AI228" s="42"/>
      <c r="AJ228" s="42"/>
      <c r="AK228" s="42"/>
      <c r="AL228" s="42"/>
      <c r="AM228" s="42"/>
      <c r="AN228" s="42"/>
      <c r="AO228" s="42"/>
      <c r="AP228" s="42"/>
    </row>
    <row r="229" spans="1:42" hidden="1" x14ac:dyDescent="0.2">
      <c r="A229" s="42"/>
      <c r="B229" s="42"/>
      <c r="C229" s="42"/>
      <c r="D229" s="42"/>
      <c r="E229" s="42"/>
      <c r="F229" s="42"/>
      <c r="G229" s="42"/>
      <c r="H229" s="42"/>
      <c r="I229" s="42"/>
      <c r="J229" s="42"/>
      <c r="K229" s="42"/>
      <c r="O229" s="42"/>
      <c r="P229" s="42"/>
      <c r="Q229" s="42"/>
      <c r="R229" s="42"/>
      <c r="S229" s="42"/>
      <c r="X229" s="42"/>
      <c r="Y229" s="42"/>
      <c r="Z229" s="42"/>
      <c r="AA229" s="42"/>
      <c r="AB229" s="42"/>
      <c r="AC229" s="42"/>
      <c r="AD229" s="42"/>
      <c r="AE229" s="42"/>
      <c r="AF229" s="42"/>
      <c r="AG229" s="42"/>
      <c r="AH229" s="42"/>
      <c r="AI229" s="42"/>
      <c r="AJ229" s="42"/>
      <c r="AK229" s="42"/>
      <c r="AL229" s="42"/>
      <c r="AM229" s="42"/>
      <c r="AN229" s="42"/>
      <c r="AO229" s="42"/>
      <c r="AP229" s="42"/>
    </row>
    <row r="230" spans="1:42" hidden="1" x14ac:dyDescent="0.2">
      <c r="A230" s="42"/>
      <c r="B230" s="42"/>
      <c r="C230" s="42"/>
      <c r="D230" s="42"/>
      <c r="E230" s="42"/>
      <c r="F230" s="42"/>
      <c r="G230" s="42"/>
      <c r="H230" s="42"/>
      <c r="I230" s="42"/>
      <c r="J230" s="42"/>
      <c r="K230" s="42"/>
      <c r="O230" s="42"/>
      <c r="P230" s="42"/>
      <c r="Q230" s="42"/>
      <c r="R230" s="42"/>
      <c r="S230" s="42"/>
      <c r="X230" s="42"/>
      <c r="Y230" s="42"/>
      <c r="Z230" s="42"/>
      <c r="AA230" s="42"/>
      <c r="AB230" s="42"/>
      <c r="AC230" s="42"/>
      <c r="AD230" s="42"/>
      <c r="AE230" s="42"/>
      <c r="AF230" s="42"/>
      <c r="AG230" s="42"/>
      <c r="AH230" s="42"/>
      <c r="AI230" s="42"/>
      <c r="AJ230" s="42"/>
      <c r="AK230" s="42"/>
      <c r="AL230" s="42"/>
      <c r="AM230" s="42"/>
      <c r="AN230" s="42"/>
      <c r="AO230" s="42"/>
      <c r="AP230" s="42"/>
    </row>
    <row r="231" spans="1:42" hidden="1" x14ac:dyDescent="0.2">
      <c r="A231" s="42"/>
      <c r="B231" s="42"/>
      <c r="C231" s="42"/>
      <c r="D231" s="42"/>
      <c r="E231" s="42"/>
      <c r="F231" s="42"/>
      <c r="G231" s="42"/>
      <c r="H231" s="42"/>
      <c r="I231" s="42"/>
      <c r="J231" s="42"/>
      <c r="K231" s="42"/>
      <c r="O231" s="42"/>
      <c r="P231" s="42"/>
      <c r="Q231" s="42"/>
      <c r="R231" s="42"/>
      <c r="S231" s="42"/>
      <c r="X231" s="42"/>
      <c r="Y231" s="42"/>
      <c r="Z231" s="42"/>
      <c r="AA231" s="42"/>
      <c r="AB231" s="42"/>
      <c r="AC231" s="42"/>
      <c r="AD231" s="42"/>
      <c r="AE231" s="42"/>
      <c r="AF231" s="42"/>
      <c r="AG231" s="42"/>
      <c r="AH231" s="42"/>
      <c r="AI231" s="42"/>
      <c r="AJ231" s="42"/>
      <c r="AK231" s="42"/>
      <c r="AL231" s="42"/>
      <c r="AM231" s="42"/>
      <c r="AN231" s="42"/>
      <c r="AO231" s="42"/>
      <c r="AP231" s="42"/>
    </row>
    <row r="232" spans="1:42" hidden="1" x14ac:dyDescent="0.2">
      <c r="A232" s="42"/>
      <c r="B232" s="42"/>
      <c r="C232" s="42"/>
      <c r="D232" s="42"/>
      <c r="E232" s="42"/>
      <c r="F232" s="42"/>
      <c r="G232" s="42"/>
      <c r="H232" s="42"/>
      <c r="I232" s="42"/>
      <c r="J232" s="42"/>
      <c r="K232" s="42"/>
      <c r="O232" s="42"/>
      <c r="P232" s="42"/>
      <c r="Q232" s="42"/>
      <c r="R232" s="42"/>
      <c r="S232" s="42"/>
      <c r="X232" s="42"/>
      <c r="Y232" s="42"/>
      <c r="Z232" s="42"/>
      <c r="AA232" s="42"/>
      <c r="AB232" s="42"/>
      <c r="AC232" s="42"/>
      <c r="AD232" s="42"/>
      <c r="AE232" s="42"/>
      <c r="AF232" s="42"/>
      <c r="AG232" s="42"/>
      <c r="AH232" s="42"/>
      <c r="AI232" s="42"/>
      <c r="AJ232" s="42"/>
      <c r="AK232" s="42"/>
      <c r="AL232" s="42"/>
      <c r="AM232" s="42"/>
      <c r="AN232" s="42"/>
      <c r="AO232" s="42"/>
      <c r="AP232" s="42"/>
    </row>
    <row r="233" spans="1:42" hidden="1" x14ac:dyDescent="0.2">
      <c r="A233" s="42"/>
      <c r="B233" s="42"/>
      <c r="C233" s="42"/>
      <c r="D233" s="42"/>
      <c r="E233" s="42"/>
      <c r="F233" s="42"/>
      <c r="G233" s="42"/>
      <c r="H233" s="42"/>
      <c r="I233" s="42"/>
      <c r="J233" s="42"/>
      <c r="K233" s="42"/>
      <c r="O233" s="42"/>
      <c r="P233" s="42"/>
      <c r="Q233" s="42"/>
      <c r="R233" s="42"/>
      <c r="S233" s="42"/>
      <c r="X233" s="42"/>
      <c r="Y233" s="42"/>
      <c r="Z233" s="42"/>
      <c r="AA233" s="42"/>
      <c r="AB233" s="42"/>
      <c r="AC233" s="42"/>
      <c r="AD233" s="42"/>
      <c r="AE233" s="42"/>
      <c r="AF233" s="42"/>
      <c r="AG233" s="42"/>
      <c r="AH233" s="42"/>
      <c r="AI233" s="42"/>
      <c r="AJ233" s="42"/>
      <c r="AK233" s="42"/>
      <c r="AL233" s="42"/>
      <c r="AM233" s="42"/>
      <c r="AN233" s="42"/>
      <c r="AO233" s="42"/>
      <c r="AP233" s="42"/>
    </row>
    <row r="234" spans="1:42" hidden="1" x14ac:dyDescent="0.2">
      <c r="A234" s="42"/>
      <c r="B234" s="42"/>
      <c r="C234" s="42"/>
      <c r="D234" s="42"/>
      <c r="E234" s="42"/>
      <c r="F234" s="42"/>
      <c r="G234" s="42"/>
      <c r="H234" s="42"/>
      <c r="I234" s="42"/>
      <c r="J234" s="42"/>
      <c r="K234" s="42"/>
      <c r="O234" s="42"/>
      <c r="P234" s="42"/>
      <c r="Q234" s="42"/>
      <c r="R234" s="42"/>
      <c r="S234" s="42"/>
      <c r="X234" s="42"/>
      <c r="Y234" s="42"/>
      <c r="Z234" s="42"/>
      <c r="AA234" s="42"/>
      <c r="AB234" s="42"/>
      <c r="AC234" s="42"/>
      <c r="AD234" s="42"/>
      <c r="AE234" s="42"/>
      <c r="AF234" s="42"/>
      <c r="AG234" s="42"/>
      <c r="AH234" s="42"/>
      <c r="AI234" s="42"/>
      <c r="AJ234" s="42"/>
      <c r="AK234" s="42"/>
      <c r="AL234" s="42"/>
      <c r="AM234" s="42"/>
      <c r="AN234" s="42"/>
      <c r="AO234" s="42"/>
      <c r="AP234" s="42"/>
    </row>
    <row r="235" spans="1:42" hidden="1" x14ac:dyDescent="0.2">
      <c r="A235" s="42"/>
      <c r="B235" s="42"/>
      <c r="C235" s="42"/>
      <c r="D235" s="42"/>
      <c r="E235" s="42"/>
      <c r="F235" s="42"/>
      <c r="G235" s="42"/>
      <c r="H235" s="42"/>
      <c r="I235" s="42"/>
      <c r="J235" s="42"/>
      <c r="K235" s="42"/>
      <c r="O235" s="42"/>
      <c r="P235" s="42"/>
      <c r="Q235" s="42"/>
      <c r="R235" s="42"/>
      <c r="S235" s="42"/>
      <c r="X235" s="42"/>
      <c r="Y235" s="42"/>
      <c r="Z235" s="42"/>
      <c r="AA235" s="42"/>
      <c r="AB235" s="42"/>
      <c r="AC235" s="42"/>
      <c r="AD235" s="42"/>
      <c r="AE235" s="42"/>
      <c r="AF235" s="42"/>
      <c r="AG235" s="42"/>
      <c r="AH235" s="42"/>
      <c r="AI235" s="42"/>
      <c r="AJ235" s="42"/>
      <c r="AK235" s="42"/>
      <c r="AL235" s="42"/>
      <c r="AM235" s="42"/>
      <c r="AN235" s="42"/>
      <c r="AO235" s="42"/>
      <c r="AP235" s="42"/>
    </row>
    <row r="236" spans="1:42" hidden="1" x14ac:dyDescent="0.2">
      <c r="A236" s="42"/>
      <c r="B236" s="42"/>
      <c r="C236" s="42"/>
      <c r="D236" s="42"/>
      <c r="E236" s="42"/>
      <c r="F236" s="42"/>
      <c r="G236" s="42"/>
      <c r="H236" s="42"/>
      <c r="I236" s="42"/>
      <c r="J236" s="42"/>
      <c r="K236" s="42"/>
      <c r="O236" s="42"/>
      <c r="P236" s="42"/>
      <c r="Q236" s="42"/>
      <c r="R236" s="42"/>
      <c r="S236" s="42"/>
      <c r="X236" s="42"/>
      <c r="Y236" s="42"/>
      <c r="Z236" s="42"/>
      <c r="AA236" s="42"/>
      <c r="AB236" s="42"/>
      <c r="AC236" s="42"/>
      <c r="AD236" s="42"/>
      <c r="AE236" s="42"/>
      <c r="AF236" s="42"/>
      <c r="AG236" s="42"/>
      <c r="AH236" s="42"/>
      <c r="AI236" s="42"/>
      <c r="AJ236" s="42"/>
      <c r="AK236" s="42"/>
      <c r="AL236" s="42"/>
      <c r="AM236" s="42"/>
      <c r="AN236" s="42"/>
      <c r="AO236" s="42"/>
      <c r="AP236" s="42"/>
    </row>
    <row r="237" spans="1:42" hidden="1" x14ac:dyDescent="0.2">
      <c r="A237" s="42"/>
      <c r="B237" s="42"/>
      <c r="C237" s="42"/>
      <c r="D237" s="42"/>
      <c r="E237" s="42"/>
      <c r="F237" s="42"/>
      <c r="G237" s="42"/>
      <c r="H237" s="42"/>
      <c r="I237" s="42"/>
      <c r="J237" s="42"/>
      <c r="K237" s="42"/>
      <c r="O237" s="42"/>
      <c r="P237" s="42"/>
      <c r="Q237" s="42"/>
      <c r="R237" s="42"/>
      <c r="S237" s="42"/>
      <c r="X237" s="42"/>
      <c r="Y237" s="42"/>
      <c r="Z237" s="42"/>
      <c r="AA237" s="42"/>
      <c r="AB237" s="42"/>
      <c r="AC237" s="42"/>
      <c r="AD237" s="42"/>
      <c r="AE237" s="42"/>
      <c r="AF237" s="42"/>
      <c r="AG237" s="42"/>
      <c r="AH237" s="42"/>
      <c r="AI237" s="42"/>
      <c r="AJ237" s="42"/>
      <c r="AK237" s="42"/>
      <c r="AL237" s="42"/>
      <c r="AM237" s="42"/>
      <c r="AN237" s="42"/>
      <c r="AO237" s="42"/>
      <c r="AP237" s="42"/>
    </row>
    <row r="238" spans="1:42" hidden="1" x14ac:dyDescent="0.2">
      <c r="A238" s="42"/>
      <c r="B238" s="42"/>
      <c r="C238" s="42"/>
      <c r="D238" s="42"/>
      <c r="E238" s="42"/>
      <c r="F238" s="42"/>
      <c r="G238" s="42"/>
      <c r="H238" s="42"/>
      <c r="I238" s="42"/>
      <c r="J238" s="42"/>
      <c r="K238" s="42"/>
      <c r="O238" s="42"/>
      <c r="P238" s="42"/>
      <c r="Q238" s="42"/>
      <c r="R238" s="42"/>
      <c r="S238" s="42"/>
      <c r="X238" s="42"/>
      <c r="Y238" s="42"/>
      <c r="Z238" s="42"/>
      <c r="AA238" s="42"/>
      <c r="AB238" s="42"/>
      <c r="AC238" s="42"/>
      <c r="AD238" s="42"/>
      <c r="AE238" s="42"/>
      <c r="AF238" s="42"/>
      <c r="AG238" s="42"/>
      <c r="AH238" s="42"/>
      <c r="AI238" s="42"/>
      <c r="AJ238" s="42"/>
      <c r="AK238" s="42"/>
      <c r="AL238" s="42"/>
      <c r="AM238" s="42"/>
      <c r="AN238" s="42"/>
      <c r="AO238" s="42"/>
      <c r="AP238" s="42"/>
    </row>
    <row r="239" spans="1:42" hidden="1" x14ac:dyDescent="0.2">
      <c r="A239" s="42"/>
      <c r="B239" s="42"/>
      <c r="C239" s="42"/>
      <c r="D239" s="42"/>
      <c r="E239" s="42"/>
      <c r="F239" s="42"/>
      <c r="G239" s="42"/>
      <c r="H239" s="42"/>
      <c r="I239" s="42"/>
      <c r="J239" s="42"/>
      <c r="K239" s="42"/>
      <c r="O239" s="42"/>
      <c r="P239" s="42"/>
      <c r="Q239" s="42"/>
      <c r="R239" s="42"/>
      <c r="S239" s="42"/>
      <c r="X239" s="42"/>
      <c r="Y239" s="42"/>
      <c r="Z239" s="42"/>
      <c r="AA239" s="42"/>
      <c r="AB239" s="42"/>
      <c r="AC239" s="42"/>
      <c r="AD239" s="42"/>
      <c r="AE239" s="42"/>
      <c r="AF239" s="42"/>
      <c r="AG239" s="42"/>
      <c r="AH239" s="42"/>
      <c r="AI239" s="42"/>
      <c r="AJ239" s="42"/>
      <c r="AK239" s="42"/>
      <c r="AL239" s="42"/>
      <c r="AM239" s="42"/>
      <c r="AN239" s="42"/>
      <c r="AO239" s="42"/>
      <c r="AP239" s="42"/>
    </row>
    <row r="240" spans="1:42" hidden="1" x14ac:dyDescent="0.2">
      <c r="A240" s="42"/>
      <c r="B240" s="42"/>
      <c r="C240" s="42"/>
      <c r="D240" s="42"/>
      <c r="E240" s="42"/>
      <c r="F240" s="42"/>
      <c r="G240" s="42"/>
      <c r="H240" s="42"/>
      <c r="I240" s="42"/>
      <c r="J240" s="42"/>
      <c r="K240" s="42"/>
      <c r="O240" s="42"/>
      <c r="P240" s="42"/>
      <c r="Q240" s="42"/>
      <c r="R240" s="42"/>
      <c r="S240" s="42"/>
      <c r="X240" s="42"/>
      <c r="Y240" s="42"/>
      <c r="Z240" s="42"/>
      <c r="AA240" s="42"/>
      <c r="AB240" s="42"/>
      <c r="AC240" s="42"/>
      <c r="AD240" s="42"/>
      <c r="AE240" s="42"/>
      <c r="AF240" s="42"/>
      <c r="AG240" s="42"/>
      <c r="AH240" s="42"/>
      <c r="AI240" s="42"/>
      <c r="AJ240" s="42"/>
      <c r="AK240" s="42"/>
      <c r="AL240" s="42"/>
      <c r="AM240" s="42"/>
      <c r="AN240" s="42"/>
      <c r="AO240" s="42"/>
      <c r="AP240" s="42"/>
    </row>
    <row r="241" spans="1:42" hidden="1" x14ac:dyDescent="0.2">
      <c r="A241" s="42"/>
      <c r="B241" s="42"/>
      <c r="C241" s="42"/>
      <c r="D241" s="42"/>
      <c r="E241" s="42"/>
      <c r="F241" s="42"/>
      <c r="G241" s="42"/>
      <c r="H241" s="42"/>
      <c r="I241" s="42"/>
      <c r="J241" s="42"/>
      <c r="K241" s="42"/>
      <c r="O241" s="42"/>
      <c r="P241" s="42"/>
      <c r="Q241" s="42"/>
      <c r="R241" s="42"/>
      <c r="S241" s="42"/>
      <c r="X241" s="42"/>
      <c r="Y241" s="42"/>
      <c r="Z241" s="42"/>
      <c r="AA241" s="42"/>
      <c r="AB241" s="42"/>
      <c r="AC241" s="42"/>
      <c r="AD241" s="42"/>
      <c r="AE241" s="42"/>
      <c r="AF241" s="42"/>
      <c r="AG241" s="42"/>
      <c r="AH241" s="42"/>
      <c r="AI241" s="42"/>
      <c r="AJ241" s="42"/>
      <c r="AK241" s="42"/>
      <c r="AL241" s="42"/>
      <c r="AM241" s="42"/>
      <c r="AN241" s="42"/>
      <c r="AO241" s="42"/>
      <c r="AP241" s="42"/>
    </row>
    <row r="242" spans="1:42" hidden="1" x14ac:dyDescent="0.2">
      <c r="A242" s="42"/>
      <c r="B242" s="42"/>
      <c r="C242" s="42"/>
      <c r="D242" s="42"/>
      <c r="E242" s="42"/>
      <c r="F242" s="42"/>
      <c r="G242" s="42"/>
      <c r="H242" s="42"/>
      <c r="I242" s="42"/>
      <c r="J242" s="42"/>
      <c r="K242" s="42"/>
      <c r="O242" s="42"/>
      <c r="P242" s="42"/>
      <c r="Q242" s="42"/>
      <c r="R242" s="42"/>
      <c r="S242" s="42"/>
      <c r="X242" s="42"/>
      <c r="Y242" s="42"/>
      <c r="Z242" s="42"/>
      <c r="AA242" s="42"/>
      <c r="AB242" s="42"/>
      <c r="AC242" s="42"/>
      <c r="AD242" s="42"/>
      <c r="AE242" s="42"/>
      <c r="AF242" s="42"/>
      <c r="AG242" s="42"/>
      <c r="AH242" s="42"/>
      <c r="AI242" s="42"/>
      <c r="AJ242" s="42"/>
      <c r="AK242" s="42"/>
      <c r="AL242" s="42"/>
      <c r="AM242" s="42"/>
      <c r="AN242" s="42"/>
      <c r="AO242" s="42"/>
      <c r="AP242" s="42"/>
    </row>
    <row r="243" spans="1:42" hidden="1" x14ac:dyDescent="0.2">
      <c r="A243" s="42"/>
      <c r="B243" s="42"/>
      <c r="C243" s="42"/>
      <c r="D243" s="42"/>
      <c r="E243" s="42"/>
      <c r="F243" s="42"/>
      <c r="G243" s="42"/>
      <c r="H243" s="42"/>
      <c r="I243" s="42"/>
      <c r="J243" s="42"/>
      <c r="K243" s="42"/>
      <c r="O243" s="42"/>
      <c r="P243" s="42"/>
      <c r="Q243" s="42"/>
      <c r="R243" s="42"/>
      <c r="S243" s="42"/>
      <c r="X243" s="42"/>
      <c r="Y243" s="42"/>
      <c r="Z243" s="42"/>
      <c r="AA243" s="42"/>
      <c r="AB243" s="42"/>
      <c r="AC243" s="42"/>
      <c r="AD243" s="42"/>
      <c r="AE243" s="42"/>
      <c r="AF243" s="42"/>
      <c r="AG243" s="42"/>
      <c r="AH243" s="42"/>
      <c r="AI243" s="42"/>
      <c r="AJ243" s="42"/>
      <c r="AK243" s="42"/>
      <c r="AL243" s="42"/>
      <c r="AM243" s="42"/>
      <c r="AN243" s="42"/>
      <c r="AO243" s="42"/>
      <c r="AP243" s="42"/>
    </row>
    <row r="244" spans="1:42" hidden="1" x14ac:dyDescent="0.2">
      <c r="A244" s="42"/>
      <c r="B244" s="42"/>
      <c r="C244" s="42"/>
      <c r="D244" s="42"/>
      <c r="E244" s="42"/>
      <c r="F244" s="42"/>
      <c r="G244" s="42"/>
      <c r="H244" s="42"/>
      <c r="I244" s="42"/>
      <c r="J244" s="42"/>
      <c r="K244" s="42"/>
      <c r="O244" s="42"/>
      <c r="P244" s="42"/>
      <c r="Q244" s="42"/>
      <c r="R244" s="42"/>
      <c r="S244" s="42"/>
      <c r="X244" s="42"/>
      <c r="Y244" s="42"/>
      <c r="Z244" s="42"/>
      <c r="AA244" s="42"/>
      <c r="AB244" s="42"/>
      <c r="AC244" s="42"/>
      <c r="AD244" s="42"/>
      <c r="AE244" s="42"/>
      <c r="AF244" s="42"/>
      <c r="AG244" s="42"/>
      <c r="AH244" s="42"/>
      <c r="AI244" s="42"/>
      <c r="AJ244" s="42"/>
      <c r="AK244" s="42"/>
      <c r="AL244" s="42"/>
      <c r="AM244" s="42"/>
      <c r="AN244" s="42"/>
      <c r="AO244" s="42"/>
      <c r="AP244" s="42"/>
    </row>
    <row r="245" spans="1:42" hidden="1" x14ac:dyDescent="0.2">
      <c r="A245" s="42"/>
      <c r="B245" s="42"/>
      <c r="C245" s="42"/>
      <c r="D245" s="42"/>
      <c r="E245" s="42"/>
      <c r="F245" s="42"/>
      <c r="G245" s="42"/>
      <c r="H245" s="42"/>
      <c r="I245" s="42"/>
      <c r="J245" s="42"/>
      <c r="K245" s="42"/>
      <c r="O245" s="42"/>
      <c r="P245" s="42"/>
      <c r="Q245" s="42"/>
      <c r="R245" s="42"/>
      <c r="S245" s="42"/>
      <c r="X245" s="42"/>
      <c r="Y245" s="42"/>
      <c r="Z245" s="42"/>
      <c r="AA245" s="42"/>
      <c r="AB245" s="42"/>
      <c r="AC245" s="42"/>
      <c r="AD245" s="42"/>
      <c r="AE245" s="42"/>
      <c r="AF245" s="42"/>
      <c r="AG245" s="42"/>
      <c r="AH245" s="42"/>
      <c r="AI245" s="42"/>
      <c r="AJ245" s="42"/>
      <c r="AK245" s="42"/>
      <c r="AL245" s="42"/>
      <c r="AM245" s="42"/>
      <c r="AN245" s="42"/>
      <c r="AO245" s="42"/>
      <c r="AP245" s="42"/>
    </row>
    <row r="246" spans="1:42" hidden="1" x14ac:dyDescent="0.2">
      <c r="A246" s="42"/>
      <c r="B246" s="42"/>
      <c r="C246" s="42"/>
      <c r="D246" s="42"/>
      <c r="E246" s="42"/>
      <c r="F246" s="42"/>
      <c r="G246" s="42"/>
      <c r="H246" s="42"/>
      <c r="I246" s="42"/>
      <c r="J246" s="42"/>
      <c r="K246" s="42"/>
      <c r="O246" s="42"/>
      <c r="P246" s="42"/>
      <c r="Q246" s="42"/>
      <c r="R246" s="42"/>
      <c r="S246" s="42"/>
      <c r="X246" s="42"/>
      <c r="Y246" s="42"/>
      <c r="Z246" s="42"/>
      <c r="AA246" s="42"/>
      <c r="AB246" s="42"/>
      <c r="AC246" s="42"/>
      <c r="AD246" s="42"/>
      <c r="AE246" s="42"/>
      <c r="AF246" s="42"/>
      <c r="AG246" s="42"/>
      <c r="AH246" s="42"/>
      <c r="AI246" s="42"/>
      <c r="AJ246" s="42"/>
      <c r="AK246" s="42"/>
      <c r="AL246" s="42"/>
      <c r="AM246" s="42"/>
      <c r="AN246" s="42"/>
      <c r="AO246" s="42"/>
      <c r="AP246" s="42"/>
    </row>
    <row r="247" spans="1:42" hidden="1" x14ac:dyDescent="0.2">
      <c r="A247" s="42"/>
      <c r="B247" s="42"/>
      <c r="C247" s="42"/>
      <c r="D247" s="42"/>
      <c r="E247" s="42"/>
      <c r="F247" s="42"/>
      <c r="G247" s="42"/>
      <c r="H247" s="42"/>
      <c r="I247" s="42"/>
      <c r="J247" s="42"/>
      <c r="K247" s="42"/>
      <c r="O247" s="42"/>
      <c r="P247" s="42"/>
      <c r="Q247" s="42"/>
      <c r="R247" s="42"/>
      <c r="S247" s="42"/>
      <c r="X247" s="42"/>
      <c r="Y247" s="42"/>
      <c r="Z247" s="42"/>
      <c r="AA247" s="42"/>
      <c r="AB247" s="42"/>
      <c r="AC247" s="42"/>
      <c r="AD247" s="42"/>
      <c r="AE247" s="42"/>
      <c r="AF247" s="42"/>
      <c r="AG247" s="42"/>
      <c r="AH247" s="42"/>
      <c r="AI247" s="42"/>
      <c r="AJ247" s="42"/>
      <c r="AK247" s="42"/>
      <c r="AL247" s="42"/>
      <c r="AM247" s="42"/>
      <c r="AN247" s="42"/>
      <c r="AO247" s="42"/>
      <c r="AP247" s="42"/>
    </row>
    <row r="248" spans="1:42" hidden="1" x14ac:dyDescent="0.2">
      <c r="A248" s="42"/>
      <c r="B248" s="42"/>
      <c r="C248" s="42"/>
      <c r="D248" s="42"/>
      <c r="E248" s="42"/>
      <c r="F248" s="42"/>
      <c r="G248" s="42"/>
      <c r="H248" s="42"/>
      <c r="I248" s="42"/>
      <c r="J248" s="42"/>
      <c r="K248" s="42"/>
      <c r="O248" s="42"/>
      <c r="P248" s="42"/>
      <c r="Q248" s="42"/>
      <c r="R248" s="42"/>
      <c r="S248" s="42"/>
      <c r="X248" s="42"/>
      <c r="Y248" s="42"/>
      <c r="Z248" s="42"/>
      <c r="AA248" s="42"/>
      <c r="AB248" s="42"/>
      <c r="AC248" s="42"/>
      <c r="AD248" s="42"/>
      <c r="AE248" s="42"/>
      <c r="AF248" s="42"/>
      <c r="AG248" s="42"/>
      <c r="AH248" s="42"/>
      <c r="AI248" s="42"/>
      <c r="AJ248" s="42"/>
      <c r="AK248" s="42"/>
      <c r="AL248" s="42"/>
      <c r="AM248" s="42"/>
      <c r="AN248" s="42"/>
      <c r="AO248" s="42"/>
      <c r="AP248" s="42"/>
    </row>
    <row r="249" spans="1:42" hidden="1" x14ac:dyDescent="0.2">
      <c r="A249" s="42"/>
      <c r="B249" s="42"/>
      <c r="C249" s="42"/>
      <c r="D249" s="42"/>
      <c r="E249" s="42"/>
      <c r="F249" s="42"/>
      <c r="G249" s="42"/>
      <c r="H249" s="42"/>
      <c r="I249" s="42"/>
      <c r="J249" s="42"/>
      <c r="K249" s="42"/>
      <c r="O249" s="42"/>
      <c r="P249" s="42"/>
      <c r="Q249" s="42"/>
      <c r="R249" s="42"/>
      <c r="S249" s="42"/>
      <c r="X249" s="42"/>
      <c r="Y249" s="42"/>
      <c r="Z249" s="42"/>
      <c r="AA249" s="42"/>
      <c r="AB249" s="42"/>
      <c r="AC249" s="42"/>
      <c r="AD249" s="42"/>
      <c r="AE249" s="42"/>
      <c r="AF249" s="42"/>
      <c r="AG249" s="42"/>
      <c r="AH249" s="42"/>
      <c r="AI249" s="42"/>
      <c r="AJ249" s="42"/>
      <c r="AK249" s="42"/>
      <c r="AL249" s="42"/>
      <c r="AM249" s="42"/>
      <c r="AN249" s="42"/>
      <c r="AO249" s="42"/>
      <c r="AP249" s="42"/>
    </row>
    <row r="250" spans="1:42" hidden="1" x14ac:dyDescent="0.2">
      <c r="A250" s="42"/>
      <c r="B250" s="42"/>
      <c r="C250" s="42"/>
      <c r="D250" s="42"/>
      <c r="E250" s="42"/>
      <c r="F250" s="42"/>
      <c r="G250" s="42"/>
      <c r="H250" s="42"/>
      <c r="I250" s="42"/>
      <c r="J250" s="42"/>
      <c r="K250" s="42"/>
      <c r="O250" s="42"/>
      <c r="P250" s="42"/>
      <c r="Q250" s="42"/>
      <c r="R250" s="42"/>
      <c r="S250" s="42"/>
      <c r="X250" s="42"/>
      <c r="Y250" s="42"/>
      <c r="Z250" s="42"/>
      <c r="AA250" s="42"/>
      <c r="AB250" s="42"/>
      <c r="AC250" s="42"/>
      <c r="AD250" s="42"/>
      <c r="AE250" s="42"/>
      <c r="AF250" s="42"/>
      <c r="AG250" s="42"/>
      <c r="AH250" s="42"/>
      <c r="AI250" s="42"/>
      <c r="AJ250" s="42"/>
      <c r="AK250" s="42"/>
      <c r="AL250" s="42"/>
      <c r="AM250" s="42"/>
      <c r="AN250" s="42"/>
      <c r="AO250" s="42"/>
      <c r="AP250" s="42"/>
    </row>
    <row r="251" spans="1:42" hidden="1" x14ac:dyDescent="0.2">
      <c r="A251" s="42"/>
      <c r="B251" s="42"/>
      <c r="C251" s="42"/>
      <c r="D251" s="42"/>
      <c r="E251" s="42"/>
      <c r="F251" s="42"/>
      <c r="G251" s="42"/>
      <c r="H251" s="42"/>
      <c r="I251" s="42"/>
      <c r="J251" s="42"/>
      <c r="K251" s="42"/>
      <c r="O251" s="42"/>
      <c r="P251" s="42"/>
      <c r="Q251" s="42"/>
      <c r="R251" s="42"/>
      <c r="S251" s="42"/>
      <c r="X251" s="42"/>
      <c r="Y251" s="42"/>
      <c r="Z251" s="42"/>
      <c r="AA251" s="42"/>
      <c r="AB251" s="42"/>
      <c r="AC251" s="42"/>
      <c r="AD251" s="42"/>
      <c r="AE251" s="42"/>
      <c r="AF251" s="42"/>
      <c r="AG251" s="42"/>
      <c r="AH251" s="42"/>
      <c r="AI251" s="42"/>
      <c r="AJ251" s="42"/>
      <c r="AK251" s="42"/>
      <c r="AL251" s="42"/>
      <c r="AM251" s="42"/>
      <c r="AN251" s="42"/>
      <c r="AO251" s="42"/>
      <c r="AP251" s="42"/>
    </row>
    <row r="252" spans="1:42" hidden="1" x14ac:dyDescent="0.2">
      <c r="A252" s="42"/>
      <c r="B252" s="42"/>
      <c r="C252" s="42"/>
      <c r="D252" s="42"/>
      <c r="E252" s="42"/>
      <c r="F252" s="42"/>
      <c r="G252" s="42"/>
      <c r="H252" s="42"/>
      <c r="I252" s="42"/>
      <c r="J252" s="42"/>
      <c r="K252" s="42"/>
      <c r="O252" s="42"/>
      <c r="P252" s="42"/>
      <c r="Q252" s="42"/>
      <c r="R252" s="42"/>
      <c r="S252" s="42"/>
      <c r="X252" s="42"/>
      <c r="Y252" s="42"/>
      <c r="Z252" s="42"/>
      <c r="AA252" s="42"/>
      <c r="AB252" s="42"/>
      <c r="AC252" s="42"/>
      <c r="AD252" s="42"/>
      <c r="AE252" s="42"/>
      <c r="AF252" s="42"/>
      <c r="AG252" s="42"/>
      <c r="AH252" s="42"/>
      <c r="AI252" s="42"/>
      <c r="AJ252" s="42"/>
      <c r="AK252" s="42"/>
      <c r="AL252" s="42"/>
      <c r="AM252" s="42"/>
      <c r="AN252" s="42"/>
      <c r="AO252" s="42"/>
      <c r="AP252" s="42"/>
    </row>
    <row r="253" spans="1:42" hidden="1" x14ac:dyDescent="0.2">
      <c r="A253" s="42"/>
      <c r="B253" s="42"/>
      <c r="C253" s="42"/>
      <c r="D253" s="42"/>
      <c r="E253" s="42"/>
      <c r="F253" s="42"/>
      <c r="G253" s="42"/>
      <c r="H253" s="42"/>
      <c r="I253" s="42"/>
      <c r="J253" s="42"/>
      <c r="K253" s="42"/>
      <c r="O253" s="42"/>
      <c r="P253" s="42"/>
      <c r="Q253" s="42"/>
      <c r="R253" s="42"/>
      <c r="S253" s="42"/>
      <c r="X253" s="42"/>
      <c r="Y253" s="42"/>
      <c r="Z253" s="42"/>
      <c r="AA253" s="42"/>
      <c r="AB253" s="42"/>
      <c r="AC253" s="42"/>
      <c r="AD253" s="42"/>
      <c r="AE253" s="42"/>
      <c r="AF253" s="42"/>
      <c r="AG253" s="42"/>
      <c r="AH253" s="42"/>
      <c r="AI253" s="42"/>
      <c r="AJ253" s="42"/>
      <c r="AK253" s="42"/>
      <c r="AL253" s="42"/>
      <c r="AM253" s="42"/>
      <c r="AN253" s="42"/>
      <c r="AO253" s="42"/>
      <c r="AP253" s="42"/>
    </row>
    <row r="254" spans="1:42" hidden="1" x14ac:dyDescent="0.2">
      <c r="A254" s="42"/>
      <c r="B254" s="42"/>
      <c r="C254" s="42"/>
      <c r="D254" s="42"/>
      <c r="E254" s="42"/>
      <c r="F254" s="42"/>
      <c r="G254" s="42"/>
      <c r="H254" s="42"/>
      <c r="I254" s="42"/>
      <c r="J254" s="42"/>
      <c r="K254" s="42"/>
      <c r="O254" s="42"/>
      <c r="P254" s="42"/>
      <c r="Q254" s="42"/>
      <c r="R254" s="42"/>
      <c r="S254" s="42"/>
      <c r="X254" s="42"/>
      <c r="Y254" s="42"/>
      <c r="Z254" s="42"/>
      <c r="AA254" s="42"/>
      <c r="AB254" s="42"/>
      <c r="AC254" s="42"/>
      <c r="AD254" s="42"/>
      <c r="AE254" s="42"/>
      <c r="AF254" s="42"/>
      <c r="AG254" s="42"/>
      <c r="AH254" s="42"/>
      <c r="AI254" s="42"/>
      <c r="AJ254" s="42"/>
      <c r="AK254" s="42"/>
      <c r="AL254" s="42"/>
      <c r="AM254" s="42"/>
      <c r="AN254" s="42"/>
      <c r="AO254" s="42"/>
      <c r="AP254" s="42"/>
    </row>
    <row r="255" spans="1:42" hidden="1" x14ac:dyDescent="0.2">
      <c r="A255" s="42"/>
      <c r="B255" s="42"/>
      <c r="C255" s="42"/>
      <c r="D255" s="42"/>
      <c r="E255" s="42"/>
      <c r="F255" s="42"/>
      <c r="G255" s="42"/>
      <c r="H255" s="42"/>
      <c r="I255" s="42"/>
      <c r="J255" s="42"/>
      <c r="K255" s="42"/>
      <c r="O255" s="42"/>
      <c r="P255" s="42"/>
      <c r="Q255" s="42"/>
      <c r="R255" s="42"/>
      <c r="S255" s="42"/>
      <c r="X255" s="42"/>
      <c r="Y255" s="42"/>
      <c r="Z255" s="42"/>
      <c r="AA255" s="42"/>
      <c r="AB255" s="42"/>
      <c r="AC255" s="42"/>
      <c r="AD255" s="42"/>
      <c r="AE255" s="42"/>
      <c r="AF255" s="42"/>
      <c r="AG255" s="42"/>
      <c r="AH255" s="42"/>
      <c r="AI255" s="42"/>
      <c r="AJ255" s="42"/>
      <c r="AK255" s="42"/>
      <c r="AL255" s="42"/>
      <c r="AM255" s="42"/>
      <c r="AN255" s="42"/>
      <c r="AO255" s="42"/>
      <c r="AP255" s="42"/>
    </row>
    <row r="256" spans="1:42" hidden="1" x14ac:dyDescent="0.2">
      <c r="A256" s="42"/>
      <c r="B256" s="42"/>
      <c r="C256" s="42"/>
      <c r="D256" s="42"/>
      <c r="E256" s="42"/>
      <c r="F256" s="42"/>
      <c r="G256" s="42"/>
      <c r="H256" s="42"/>
      <c r="I256" s="42"/>
      <c r="J256" s="42"/>
      <c r="K256" s="42"/>
      <c r="O256" s="42"/>
      <c r="P256" s="42"/>
      <c r="Q256" s="42"/>
      <c r="R256" s="42"/>
      <c r="S256" s="42"/>
      <c r="X256" s="42"/>
      <c r="Y256" s="42"/>
      <c r="Z256" s="42"/>
      <c r="AA256" s="42"/>
      <c r="AB256" s="42"/>
      <c r="AC256" s="42"/>
      <c r="AD256" s="42"/>
      <c r="AE256" s="42"/>
      <c r="AF256" s="42"/>
      <c r="AG256" s="42"/>
      <c r="AH256" s="42"/>
      <c r="AI256" s="42"/>
      <c r="AJ256" s="42"/>
      <c r="AK256" s="42"/>
      <c r="AL256" s="42"/>
      <c r="AM256" s="42"/>
      <c r="AN256" s="42"/>
      <c r="AO256" s="42"/>
      <c r="AP256" s="42"/>
    </row>
    <row r="257" spans="1:42" hidden="1" x14ac:dyDescent="0.2">
      <c r="A257" s="42"/>
      <c r="B257" s="42"/>
      <c r="C257" s="42"/>
      <c r="D257" s="42"/>
      <c r="E257" s="42"/>
      <c r="F257" s="42"/>
      <c r="G257" s="42"/>
      <c r="H257" s="42"/>
      <c r="I257" s="42"/>
      <c r="J257" s="42"/>
      <c r="K257" s="42"/>
      <c r="O257" s="42"/>
      <c r="P257" s="42"/>
      <c r="Q257" s="42"/>
      <c r="R257" s="42"/>
      <c r="S257" s="42"/>
      <c r="X257" s="42"/>
      <c r="Y257" s="42"/>
      <c r="Z257" s="42"/>
      <c r="AA257" s="42"/>
      <c r="AB257" s="42"/>
      <c r="AC257" s="42"/>
      <c r="AD257" s="42"/>
      <c r="AE257" s="42"/>
      <c r="AF257" s="42"/>
      <c r="AG257" s="42"/>
      <c r="AH257" s="42"/>
      <c r="AI257" s="42"/>
      <c r="AJ257" s="42"/>
      <c r="AK257" s="42"/>
      <c r="AL257" s="42"/>
      <c r="AM257" s="42"/>
      <c r="AN257" s="42"/>
      <c r="AO257" s="42"/>
      <c r="AP257" s="42"/>
    </row>
    <row r="258" spans="1:42" hidden="1" x14ac:dyDescent="0.2">
      <c r="A258" s="42"/>
      <c r="B258" s="42"/>
      <c r="C258" s="42"/>
      <c r="D258" s="42"/>
      <c r="E258" s="42"/>
      <c r="F258" s="42"/>
      <c r="G258" s="42"/>
      <c r="H258" s="42"/>
      <c r="I258" s="42"/>
      <c r="J258" s="42"/>
      <c r="K258" s="42"/>
      <c r="O258" s="42"/>
      <c r="P258" s="42"/>
      <c r="Q258" s="42"/>
      <c r="R258" s="42"/>
      <c r="S258" s="42"/>
      <c r="X258" s="42"/>
      <c r="Y258" s="42"/>
      <c r="Z258" s="42"/>
      <c r="AA258" s="42"/>
      <c r="AB258" s="42"/>
      <c r="AC258" s="42"/>
      <c r="AD258" s="42"/>
      <c r="AE258" s="42"/>
      <c r="AF258" s="42"/>
      <c r="AG258" s="42"/>
      <c r="AH258" s="42"/>
      <c r="AI258" s="42"/>
      <c r="AJ258" s="42"/>
      <c r="AK258" s="42"/>
      <c r="AL258" s="42"/>
      <c r="AM258" s="42"/>
      <c r="AN258" s="42"/>
      <c r="AO258" s="42"/>
      <c r="AP258" s="42"/>
    </row>
    <row r="259" spans="1:42" hidden="1" x14ac:dyDescent="0.2">
      <c r="A259" s="42"/>
      <c r="B259" s="42"/>
      <c r="C259" s="42"/>
      <c r="D259" s="42"/>
      <c r="E259" s="42"/>
      <c r="F259" s="42"/>
      <c r="G259" s="42"/>
      <c r="H259" s="42"/>
      <c r="I259" s="42"/>
      <c r="J259" s="42"/>
      <c r="K259" s="42"/>
      <c r="O259" s="42"/>
      <c r="P259" s="42"/>
      <c r="Q259" s="42"/>
      <c r="R259" s="42"/>
      <c r="S259" s="42"/>
      <c r="X259" s="42"/>
      <c r="Y259" s="42"/>
      <c r="Z259" s="42"/>
      <c r="AA259" s="42"/>
      <c r="AB259" s="42"/>
      <c r="AC259" s="42"/>
      <c r="AD259" s="42"/>
      <c r="AE259" s="42"/>
      <c r="AF259" s="42"/>
      <c r="AG259" s="42"/>
      <c r="AH259" s="42"/>
      <c r="AI259" s="42"/>
      <c r="AJ259" s="42"/>
      <c r="AK259" s="42"/>
      <c r="AL259" s="42"/>
      <c r="AM259" s="42"/>
      <c r="AN259" s="42"/>
      <c r="AO259" s="42"/>
      <c r="AP259" s="42"/>
    </row>
    <row r="260" spans="1:42" hidden="1" x14ac:dyDescent="0.2">
      <c r="A260" s="42"/>
      <c r="B260" s="42"/>
      <c r="C260" s="42"/>
      <c r="D260" s="42"/>
      <c r="E260" s="42"/>
      <c r="F260" s="42"/>
      <c r="G260" s="42"/>
      <c r="H260" s="42"/>
      <c r="I260" s="42"/>
      <c r="J260" s="42"/>
      <c r="K260" s="42"/>
      <c r="O260" s="42"/>
      <c r="P260" s="42"/>
      <c r="Q260" s="42"/>
      <c r="R260" s="42"/>
      <c r="S260" s="42"/>
      <c r="X260" s="42"/>
      <c r="Y260" s="42"/>
      <c r="Z260" s="42"/>
      <c r="AA260" s="42"/>
      <c r="AB260" s="42"/>
      <c r="AC260" s="42"/>
      <c r="AD260" s="42"/>
      <c r="AE260" s="42"/>
      <c r="AF260" s="42"/>
      <c r="AG260" s="42"/>
      <c r="AH260" s="42"/>
      <c r="AI260" s="42"/>
      <c r="AJ260" s="42"/>
      <c r="AK260" s="42"/>
      <c r="AL260" s="42"/>
      <c r="AM260" s="42"/>
      <c r="AN260" s="42"/>
      <c r="AO260" s="42"/>
      <c r="AP260" s="42"/>
    </row>
    <row r="261" spans="1:42" hidden="1" x14ac:dyDescent="0.2">
      <c r="A261" s="42"/>
      <c r="B261" s="42"/>
      <c r="C261" s="42"/>
      <c r="D261" s="42"/>
      <c r="E261" s="42"/>
      <c r="F261" s="42"/>
      <c r="G261" s="42"/>
      <c r="H261" s="42"/>
      <c r="I261" s="42"/>
      <c r="J261" s="42"/>
      <c r="K261" s="42"/>
      <c r="O261" s="42"/>
      <c r="P261" s="42"/>
      <c r="Q261" s="42"/>
      <c r="R261" s="42"/>
      <c r="S261" s="42"/>
      <c r="X261" s="42"/>
      <c r="Y261" s="42"/>
      <c r="Z261" s="42"/>
      <c r="AA261" s="42"/>
      <c r="AB261" s="42"/>
      <c r="AC261" s="42"/>
      <c r="AD261" s="42"/>
      <c r="AE261" s="42"/>
      <c r="AF261" s="42"/>
      <c r="AG261" s="42"/>
      <c r="AH261" s="42"/>
      <c r="AI261" s="42"/>
      <c r="AJ261" s="42"/>
      <c r="AK261" s="42"/>
      <c r="AL261" s="42"/>
      <c r="AM261" s="42"/>
      <c r="AN261" s="42"/>
      <c r="AO261" s="42"/>
      <c r="AP261" s="42"/>
    </row>
    <row r="262" spans="1:42" hidden="1" x14ac:dyDescent="0.2">
      <c r="A262" s="42"/>
      <c r="B262" s="42"/>
      <c r="C262" s="42"/>
      <c r="D262" s="42"/>
      <c r="E262" s="42"/>
      <c r="F262" s="42"/>
      <c r="G262" s="42"/>
      <c r="H262" s="42"/>
      <c r="I262" s="42"/>
      <c r="J262" s="42"/>
      <c r="K262" s="42"/>
      <c r="O262" s="42"/>
      <c r="P262" s="42"/>
      <c r="Q262" s="42"/>
      <c r="R262" s="42"/>
      <c r="S262" s="42"/>
      <c r="X262" s="42"/>
      <c r="Y262" s="42"/>
      <c r="Z262" s="42"/>
      <c r="AA262" s="42"/>
      <c r="AB262" s="42"/>
      <c r="AC262" s="42"/>
      <c r="AD262" s="42"/>
      <c r="AE262" s="42"/>
      <c r="AF262" s="42"/>
      <c r="AG262" s="42"/>
      <c r="AH262" s="42"/>
      <c r="AI262" s="42"/>
      <c r="AJ262" s="42"/>
      <c r="AK262" s="42"/>
      <c r="AL262" s="42"/>
      <c r="AM262" s="42"/>
      <c r="AN262" s="42"/>
      <c r="AO262" s="42"/>
      <c r="AP262" s="42"/>
    </row>
    <row r="263" spans="1:42" hidden="1" x14ac:dyDescent="0.2">
      <c r="A263" s="42"/>
      <c r="B263" s="42"/>
      <c r="C263" s="42"/>
      <c r="D263" s="42"/>
      <c r="E263" s="42"/>
      <c r="F263" s="42"/>
      <c r="G263" s="42"/>
      <c r="H263" s="42"/>
      <c r="I263" s="42"/>
      <c r="J263" s="42"/>
      <c r="K263" s="42"/>
      <c r="O263" s="42"/>
      <c r="P263" s="42"/>
      <c r="Q263" s="42"/>
      <c r="R263" s="42"/>
      <c r="S263" s="42"/>
      <c r="X263" s="42"/>
      <c r="Y263" s="42"/>
      <c r="Z263" s="42"/>
      <c r="AA263" s="42"/>
      <c r="AB263" s="42"/>
      <c r="AC263" s="42"/>
      <c r="AD263" s="42"/>
      <c r="AE263" s="42"/>
      <c r="AF263" s="42"/>
      <c r="AG263" s="42"/>
      <c r="AH263" s="42"/>
      <c r="AI263" s="42"/>
      <c r="AJ263" s="42"/>
      <c r="AK263" s="42"/>
      <c r="AL263" s="42"/>
      <c r="AM263" s="42"/>
      <c r="AN263" s="42"/>
      <c r="AO263" s="42"/>
      <c r="AP263" s="42"/>
    </row>
    <row r="264" spans="1:42" hidden="1" x14ac:dyDescent="0.2">
      <c r="A264" s="42"/>
      <c r="B264" s="42"/>
      <c r="C264" s="42"/>
      <c r="D264" s="42"/>
      <c r="E264" s="42"/>
      <c r="F264" s="42"/>
      <c r="G264" s="42"/>
      <c r="H264" s="42"/>
      <c r="I264" s="42"/>
      <c r="J264" s="42"/>
      <c r="K264" s="42"/>
      <c r="O264" s="42"/>
      <c r="P264" s="42"/>
      <c r="Q264" s="42"/>
      <c r="R264" s="42"/>
      <c r="S264" s="42"/>
      <c r="X264" s="42"/>
      <c r="Y264" s="42"/>
      <c r="Z264" s="42"/>
      <c r="AA264" s="42"/>
      <c r="AB264" s="42"/>
      <c r="AC264" s="42"/>
      <c r="AD264" s="42"/>
      <c r="AE264" s="42"/>
      <c r="AF264" s="42"/>
      <c r="AG264" s="42"/>
      <c r="AH264" s="42"/>
      <c r="AI264" s="42"/>
      <c r="AJ264" s="42"/>
      <c r="AK264" s="42"/>
      <c r="AL264" s="42"/>
      <c r="AM264" s="42"/>
      <c r="AN264" s="42"/>
      <c r="AO264" s="42"/>
      <c r="AP264" s="42"/>
    </row>
    <row r="265" spans="1:42" hidden="1" x14ac:dyDescent="0.2">
      <c r="A265" s="42"/>
      <c r="B265" s="42"/>
      <c r="C265" s="42"/>
      <c r="D265" s="42"/>
      <c r="E265" s="42"/>
      <c r="F265" s="42"/>
      <c r="G265" s="42"/>
      <c r="H265" s="42"/>
      <c r="I265" s="42"/>
      <c r="J265" s="42"/>
      <c r="K265" s="42"/>
      <c r="O265" s="42"/>
      <c r="P265" s="42"/>
      <c r="Q265" s="42"/>
      <c r="R265" s="42"/>
      <c r="S265" s="42"/>
      <c r="X265" s="42"/>
      <c r="Y265" s="42"/>
      <c r="Z265" s="42"/>
      <c r="AA265" s="42"/>
      <c r="AB265" s="42"/>
      <c r="AC265" s="42"/>
      <c r="AD265" s="42"/>
      <c r="AE265" s="42"/>
      <c r="AF265" s="42"/>
      <c r="AG265" s="42"/>
      <c r="AH265" s="42"/>
      <c r="AI265" s="42"/>
      <c r="AJ265" s="42"/>
      <c r="AK265" s="42"/>
      <c r="AL265" s="42"/>
      <c r="AM265" s="42"/>
      <c r="AN265" s="42"/>
      <c r="AO265" s="42"/>
      <c r="AP265" s="42"/>
    </row>
    <row r="266" spans="1:42" hidden="1" x14ac:dyDescent="0.2">
      <c r="A266" s="42"/>
      <c r="B266" s="42"/>
      <c r="C266" s="42"/>
      <c r="D266" s="42"/>
      <c r="E266" s="42"/>
      <c r="F266" s="42"/>
      <c r="G266" s="42"/>
      <c r="H266" s="42"/>
      <c r="I266" s="42"/>
      <c r="J266" s="42"/>
      <c r="K266" s="42"/>
      <c r="O266" s="42"/>
      <c r="P266" s="42"/>
      <c r="Q266" s="42"/>
      <c r="R266" s="42"/>
      <c r="S266" s="42"/>
      <c r="X266" s="42"/>
      <c r="Y266" s="42"/>
      <c r="Z266" s="42"/>
      <c r="AA266" s="42"/>
      <c r="AB266" s="42"/>
      <c r="AC266" s="42"/>
      <c r="AD266" s="42"/>
      <c r="AE266" s="42"/>
      <c r="AF266" s="42"/>
      <c r="AG266" s="42"/>
      <c r="AH266" s="42"/>
      <c r="AI266" s="42"/>
      <c r="AJ266" s="42"/>
      <c r="AK266" s="42"/>
      <c r="AL266" s="42"/>
      <c r="AM266" s="42"/>
      <c r="AN266" s="42"/>
      <c r="AO266" s="42"/>
      <c r="AP266" s="42"/>
    </row>
    <row r="267" spans="1:42" hidden="1" x14ac:dyDescent="0.2">
      <c r="A267" s="42"/>
      <c r="B267" s="42"/>
      <c r="C267" s="42"/>
      <c r="D267" s="42"/>
      <c r="E267" s="42"/>
      <c r="F267" s="42"/>
      <c r="G267" s="42"/>
      <c r="H267" s="42"/>
      <c r="I267" s="42"/>
      <c r="J267" s="42"/>
      <c r="K267" s="42"/>
      <c r="O267" s="42"/>
      <c r="P267" s="42"/>
      <c r="Q267" s="42"/>
      <c r="R267" s="42"/>
      <c r="S267" s="42"/>
      <c r="X267" s="42"/>
      <c r="Y267" s="42"/>
      <c r="Z267" s="42"/>
      <c r="AA267" s="42"/>
      <c r="AB267" s="42"/>
      <c r="AC267" s="42"/>
      <c r="AD267" s="42"/>
      <c r="AE267" s="42"/>
      <c r="AF267" s="42"/>
      <c r="AG267" s="42"/>
      <c r="AH267" s="42"/>
      <c r="AI267" s="42"/>
      <c r="AJ267" s="42"/>
      <c r="AK267" s="42"/>
      <c r="AL267" s="42"/>
      <c r="AM267" s="42"/>
      <c r="AN267" s="42"/>
      <c r="AO267" s="42"/>
      <c r="AP267" s="42"/>
    </row>
    <row r="268" spans="1:42" hidden="1" x14ac:dyDescent="0.2">
      <c r="A268" s="42"/>
      <c r="B268" s="42"/>
      <c r="C268" s="42"/>
      <c r="D268" s="42"/>
      <c r="E268" s="42"/>
      <c r="F268" s="42"/>
      <c r="G268" s="42"/>
      <c r="H268" s="42"/>
      <c r="I268" s="42"/>
      <c r="J268" s="42"/>
      <c r="K268" s="42"/>
      <c r="O268" s="42"/>
      <c r="P268" s="42"/>
      <c r="Q268" s="42"/>
      <c r="R268" s="42"/>
      <c r="S268" s="42"/>
      <c r="X268" s="42"/>
      <c r="Y268" s="42"/>
      <c r="Z268" s="42"/>
      <c r="AA268" s="42"/>
      <c r="AB268" s="42"/>
      <c r="AC268" s="42"/>
      <c r="AD268" s="42"/>
      <c r="AE268" s="42"/>
      <c r="AF268" s="42"/>
      <c r="AG268" s="42"/>
      <c r="AH268" s="42"/>
      <c r="AI268" s="42"/>
      <c r="AJ268" s="42"/>
      <c r="AK268" s="42"/>
      <c r="AL268" s="42"/>
      <c r="AM268" s="42"/>
      <c r="AN268" s="42"/>
      <c r="AO268" s="42"/>
      <c r="AP268" s="42"/>
    </row>
    <row r="269" spans="1:42" hidden="1" x14ac:dyDescent="0.2">
      <c r="A269" s="42"/>
      <c r="B269" s="42"/>
      <c r="C269" s="42"/>
      <c r="D269" s="42"/>
      <c r="E269" s="42"/>
      <c r="F269" s="42"/>
      <c r="G269" s="42"/>
      <c r="H269" s="42"/>
      <c r="I269" s="42"/>
      <c r="J269" s="42"/>
      <c r="K269" s="42"/>
      <c r="O269" s="42"/>
      <c r="P269" s="42"/>
      <c r="Q269" s="42"/>
      <c r="R269" s="42"/>
      <c r="S269" s="42"/>
      <c r="X269" s="42"/>
      <c r="Y269" s="42"/>
      <c r="Z269" s="42"/>
      <c r="AA269" s="42"/>
      <c r="AB269" s="42"/>
      <c r="AC269" s="42"/>
      <c r="AD269" s="42"/>
      <c r="AE269" s="42"/>
      <c r="AF269" s="42"/>
      <c r="AG269" s="42"/>
      <c r="AH269" s="42"/>
      <c r="AI269" s="42"/>
      <c r="AJ269" s="42"/>
      <c r="AK269" s="42"/>
      <c r="AL269" s="42"/>
      <c r="AM269" s="42"/>
      <c r="AN269" s="42"/>
      <c r="AO269" s="42"/>
      <c r="AP269" s="42"/>
    </row>
    <row r="270" spans="1:42" hidden="1" x14ac:dyDescent="0.2">
      <c r="A270" s="42"/>
      <c r="B270" s="42"/>
      <c r="C270" s="42"/>
      <c r="D270" s="42"/>
      <c r="E270" s="42"/>
      <c r="F270" s="42"/>
      <c r="G270" s="42"/>
      <c r="H270" s="42"/>
      <c r="I270" s="42"/>
      <c r="J270" s="42"/>
      <c r="K270" s="42"/>
      <c r="O270" s="42"/>
      <c r="P270" s="42"/>
      <c r="Q270" s="42"/>
      <c r="R270" s="42"/>
      <c r="S270" s="42"/>
      <c r="X270" s="42"/>
      <c r="Y270" s="42"/>
      <c r="Z270" s="42"/>
      <c r="AA270" s="42"/>
      <c r="AB270" s="42"/>
      <c r="AC270" s="42"/>
      <c r="AD270" s="42"/>
      <c r="AE270" s="42"/>
      <c r="AF270" s="42"/>
      <c r="AG270" s="42"/>
      <c r="AH270" s="42"/>
      <c r="AI270" s="42"/>
      <c r="AJ270" s="42"/>
      <c r="AK270" s="42"/>
      <c r="AL270" s="42"/>
      <c r="AM270" s="42"/>
      <c r="AN270" s="42"/>
      <c r="AO270" s="42"/>
      <c r="AP270" s="42"/>
    </row>
    <row r="271" spans="1:42" hidden="1" x14ac:dyDescent="0.2">
      <c r="A271" s="42"/>
      <c r="B271" s="42"/>
      <c r="C271" s="42"/>
      <c r="D271" s="42"/>
      <c r="E271" s="42"/>
      <c r="F271" s="42"/>
      <c r="G271" s="42"/>
      <c r="H271" s="42"/>
      <c r="I271" s="42"/>
      <c r="J271" s="42"/>
      <c r="K271" s="42"/>
      <c r="O271" s="42"/>
      <c r="P271" s="42"/>
      <c r="Q271" s="42"/>
      <c r="R271" s="42"/>
      <c r="S271" s="42"/>
      <c r="X271" s="42"/>
      <c r="Y271" s="42"/>
      <c r="Z271" s="42"/>
      <c r="AA271" s="42"/>
      <c r="AB271" s="42"/>
      <c r="AC271" s="42"/>
      <c r="AD271" s="42"/>
      <c r="AE271" s="42"/>
      <c r="AF271" s="42"/>
      <c r="AG271" s="42"/>
      <c r="AH271" s="42"/>
      <c r="AI271" s="42"/>
      <c r="AJ271" s="42"/>
      <c r="AK271" s="42"/>
      <c r="AL271" s="42"/>
      <c r="AM271" s="42"/>
      <c r="AN271" s="42"/>
      <c r="AO271" s="42"/>
      <c r="AP271" s="42"/>
    </row>
    <row r="272" spans="1:42" hidden="1" x14ac:dyDescent="0.2">
      <c r="A272" s="42"/>
      <c r="B272" s="42"/>
      <c r="C272" s="42"/>
      <c r="D272" s="42"/>
      <c r="E272" s="42"/>
      <c r="F272" s="42"/>
      <c r="G272" s="42"/>
      <c r="H272" s="42"/>
      <c r="I272" s="42"/>
      <c r="J272" s="42"/>
      <c r="K272" s="42"/>
      <c r="O272" s="42"/>
      <c r="P272" s="42"/>
      <c r="Q272" s="42"/>
      <c r="R272" s="42"/>
      <c r="S272" s="42"/>
      <c r="X272" s="42"/>
      <c r="Y272" s="42"/>
      <c r="Z272" s="42"/>
      <c r="AA272" s="42"/>
      <c r="AB272" s="42"/>
      <c r="AC272" s="42"/>
      <c r="AD272" s="42"/>
      <c r="AE272" s="42"/>
      <c r="AF272" s="42"/>
      <c r="AG272" s="42"/>
      <c r="AH272" s="42"/>
      <c r="AI272" s="42"/>
      <c r="AJ272" s="42"/>
      <c r="AK272" s="42"/>
      <c r="AL272" s="42"/>
      <c r="AM272" s="42"/>
      <c r="AN272" s="42"/>
      <c r="AO272" s="42"/>
      <c r="AP272" s="42"/>
    </row>
    <row r="273" spans="1:42" hidden="1" x14ac:dyDescent="0.2">
      <c r="A273" s="42"/>
      <c r="B273" s="42"/>
      <c r="C273" s="42"/>
      <c r="D273" s="42"/>
      <c r="E273" s="42"/>
      <c r="F273" s="42"/>
      <c r="G273" s="42"/>
      <c r="H273" s="42"/>
      <c r="I273" s="42"/>
      <c r="J273" s="42"/>
      <c r="K273" s="42"/>
      <c r="O273" s="42"/>
      <c r="P273" s="42"/>
      <c r="Q273" s="42"/>
      <c r="R273" s="42"/>
      <c r="S273" s="42"/>
      <c r="X273" s="42"/>
      <c r="Y273" s="42"/>
      <c r="Z273" s="42"/>
      <c r="AA273" s="42"/>
      <c r="AB273" s="42"/>
      <c r="AC273" s="42"/>
      <c r="AD273" s="42"/>
      <c r="AE273" s="42"/>
      <c r="AF273" s="42"/>
      <c r="AG273" s="42"/>
      <c r="AH273" s="42"/>
      <c r="AI273" s="42"/>
      <c r="AJ273" s="42"/>
      <c r="AK273" s="42"/>
      <c r="AL273" s="42"/>
      <c r="AM273" s="42"/>
      <c r="AN273" s="42"/>
      <c r="AO273" s="42"/>
      <c r="AP273" s="42"/>
    </row>
    <row r="274" spans="1:42" hidden="1" x14ac:dyDescent="0.2">
      <c r="A274" s="42"/>
      <c r="B274" s="42"/>
      <c r="C274" s="42"/>
      <c r="D274" s="42"/>
      <c r="E274" s="42"/>
      <c r="F274" s="42"/>
      <c r="G274" s="42"/>
      <c r="H274" s="42"/>
      <c r="I274" s="42"/>
      <c r="J274" s="42"/>
      <c r="K274" s="42"/>
      <c r="O274" s="42"/>
      <c r="P274" s="42"/>
      <c r="Q274" s="42"/>
      <c r="R274" s="42"/>
      <c r="S274" s="42"/>
      <c r="X274" s="42"/>
      <c r="Y274" s="42"/>
      <c r="Z274" s="42"/>
      <c r="AA274" s="42"/>
      <c r="AB274" s="42"/>
      <c r="AC274" s="42"/>
      <c r="AD274" s="42"/>
      <c r="AE274" s="42"/>
      <c r="AF274" s="42"/>
      <c r="AG274" s="42"/>
      <c r="AH274" s="42"/>
      <c r="AI274" s="42"/>
      <c r="AJ274" s="42"/>
      <c r="AK274" s="42"/>
      <c r="AL274" s="42"/>
      <c r="AM274" s="42"/>
      <c r="AN274" s="42"/>
      <c r="AO274" s="42"/>
      <c r="AP274" s="42"/>
    </row>
    <row r="275" spans="1:42" hidden="1" x14ac:dyDescent="0.2">
      <c r="A275" s="42"/>
      <c r="B275" s="42"/>
      <c r="C275" s="42"/>
      <c r="D275" s="42"/>
      <c r="E275" s="42"/>
      <c r="F275" s="42"/>
      <c r="G275" s="42"/>
      <c r="H275" s="42"/>
      <c r="I275" s="42"/>
      <c r="J275" s="42"/>
      <c r="K275" s="42"/>
      <c r="O275" s="42"/>
      <c r="P275" s="42"/>
      <c r="Q275" s="42"/>
      <c r="R275" s="42"/>
      <c r="S275" s="42"/>
      <c r="X275" s="42"/>
      <c r="Y275" s="42"/>
      <c r="Z275" s="42"/>
      <c r="AA275" s="42"/>
      <c r="AB275" s="42"/>
      <c r="AC275" s="42"/>
      <c r="AD275" s="42"/>
      <c r="AE275" s="42"/>
      <c r="AF275" s="42"/>
      <c r="AG275" s="42"/>
      <c r="AH275" s="42"/>
      <c r="AI275" s="42"/>
      <c r="AJ275" s="42"/>
      <c r="AK275" s="42"/>
      <c r="AL275" s="42"/>
      <c r="AM275" s="42"/>
      <c r="AN275" s="42"/>
      <c r="AO275" s="42"/>
      <c r="AP275" s="42"/>
    </row>
    <row r="276" spans="1:42" hidden="1" x14ac:dyDescent="0.2">
      <c r="A276" s="42"/>
      <c r="B276" s="42"/>
      <c r="C276" s="42"/>
      <c r="D276" s="42"/>
      <c r="E276" s="42"/>
      <c r="F276" s="42"/>
      <c r="G276" s="42"/>
      <c r="H276" s="42"/>
      <c r="I276" s="42"/>
      <c r="J276" s="42"/>
      <c r="K276" s="42"/>
      <c r="O276" s="42"/>
      <c r="P276" s="42"/>
      <c r="Q276" s="42"/>
      <c r="R276" s="42"/>
      <c r="S276" s="42"/>
      <c r="X276" s="42"/>
      <c r="Y276" s="42"/>
      <c r="Z276" s="42"/>
      <c r="AA276" s="42"/>
      <c r="AB276" s="42"/>
      <c r="AC276" s="42"/>
      <c r="AD276" s="42"/>
      <c r="AE276" s="42"/>
      <c r="AF276" s="42"/>
      <c r="AG276" s="42"/>
      <c r="AH276" s="42"/>
      <c r="AI276" s="42"/>
      <c r="AJ276" s="42"/>
      <c r="AK276" s="42"/>
      <c r="AL276" s="42"/>
      <c r="AM276" s="42"/>
      <c r="AN276" s="42"/>
      <c r="AO276" s="42"/>
      <c r="AP276" s="42"/>
    </row>
    <row r="277" spans="1:42" hidden="1" x14ac:dyDescent="0.2">
      <c r="A277" s="42"/>
      <c r="B277" s="42"/>
      <c r="C277" s="42"/>
      <c r="D277" s="42"/>
      <c r="E277" s="42"/>
      <c r="F277" s="42"/>
      <c r="G277" s="42"/>
      <c r="H277" s="42"/>
      <c r="I277" s="42"/>
      <c r="J277" s="42"/>
      <c r="K277" s="42"/>
      <c r="O277" s="42"/>
      <c r="P277" s="42"/>
      <c r="Q277" s="42"/>
      <c r="R277" s="42"/>
      <c r="S277" s="42"/>
      <c r="X277" s="42"/>
      <c r="Y277" s="42"/>
      <c r="Z277" s="42"/>
      <c r="AA277" s="42"/>
      <c r="AB277" s="42"/>
      <c r="AC277" s="42"/>
      <c r="AD277" s="42"/>
      <c r="AE277" s="42"/>
      <c r="AF277" s="42"/>
      <c r="AG277" s="42"/>
      <c r="AH277" s="42"/>
      <c r="AI277" s="42"/>
      <c r="AJ277" s="42"/>
      <c r="AK277" s="42"/>
      <c r="AL277" s="42"/>
      <c r="AM277" s="42"/>
      <c r="AN277" s="42"/>
      <c r="AO277" s="42"/>
      <c r="AP277" s="42"/>
    </row>
    <row r="278" spans="1:42" hidden="1" x14ac:dyDescent="0.2">
      <c r="A278" s="42"/>
      <c r="B278" s="42"/>
      <c r="C278" s="42"/>
      <c r="D278" s="42"/>
      <c r="E278" s="42"/>
      <c r="F278" s="42"/>
      <c r="G278" s="42"/>
      <c r="H278" s="42"/>
      <c r="I278" s="42"/>
      <c r="J278" s="42"/>
      <c r="K278" s="42"/>
      <c r="O278" s="42"/>
      <c r="P278" s="42"/>
      <c r="Q278" s="42"/>
      <c r="R278" s="42"/>
      <c r="S278" s="42"/>
      <c r="X278" s="42"/>
      <c r="Y278" s="42"/>
      <c r="Z278" s="42"/>
      <c r="AA278" s="42"/>
      <c r="AB278" s="42"/>
      <c r="AC278" s="42"/>
      <c r="AD278" s="42"/>
      <c r="AE278" s="42"/>
      <c r="AF278" s="42"/>
      <c r="AG278" s="42"/>
      <c r="AH278" s="42"/>
      <c r="AI278" s="42"/>
      <c r="AJ278" s="42"/>
      <c r="AK278" s="42"/>
      <c r="AL278" s="42"/>
      <c r="AM278" s="42"/>
      <c r="AN278" s="42"/>
      <c r="AO278" s="42"/>
      <c r="AP278" s="42"/>
    </row>
    <row r="279" spans="1:42" hidden="1" x14ac:dyDescent="0.2">
      <c r="A279" s="42"/>
      <c r="B279" s="42"/>
      <c r="C279" s="42"/>
      <c r="D279" s="42"/>
      <c r="E279" s="42"/>
      <c r="F279" s="42"/>
      <c r="G279" s="42"/>
      <c r="H279" s="42"/>
      <c r="I279" s="42"/>
      <c r="J279" s="42"/>
      <c r="K279" s="42"/>
      <c r="O279" s="42"/>
      <c r="P279" s="42"/>
      <c r="Q279" s="42"/>
      <c r="R279" s="42"/>
      <c r="S279" s="42"/>
      <c r="X279" s="42"/>
      <c r="Y279" s="42"/>
      <c r="Z279" s="42"/>
      <c r="AA279" s="42"/>
      <c r="AB279" s="42"/>
      <c r="AC279" s="42"/>
      <c r="AD279" s="42"/>
      <c r="AE279" s="42"/>
      <c r="AF279" s="42"/>
      <c r="AG279" s="42"/>
      <c r="AH279" s="42"/>
      <c r="AI279" s="42"/>
      <c r="AJ279" s="42"/>
      <c r="AK279" s="42"/>
      <c r="AL279" s="42"/>
      <c r="AM279" s="42"/>
      <c r="AN279" s="42"/>
      <c r="AO279" s="42"/>
      <c r="AP279" s="42"/>
    </row>
    <row r="280" spans="1:42" hidden="1" x14ac:dyDescent="0.2">
      <c r="A280" s="42"/>
      <c r="B280" s="42"/>
      <c r="C280" s="42"/>
      <c r="D280" s="42"/>
      <c r="E280" s="42"/>
      <c r="F280" s="42"/>
      <c r="G280" s="42"/>
      <c r="H280" s="42"/>
      <c r="I280" s="42"/>
      <c r="J280" s="42"/>
      <c r="K280" s="42"/>
      <c r="O280" s="42"/>
      <c r="P280" s="42"/>
      <c r="Q280" s="42"/>
      <c r="R280" s="42"/>
      <c r="S280" s="42"/>
      <c r="X280" s="42"/>
      <c r="Y280" s="42"/>
      <c r="Z280" s="42"/>
      <c r="AA280" s="42"/>
      <c r="AB280" s="42"/>
      <c r="AC280" s="42"/>
      <c r="AD280" s="42"/>
      <c r="AE280" s="42"/>
      <c r="AF280" s="42"/>
      <c r="AG280" s="42"/>
      <c r="AH280" s="42"/>
      <c r="AI280" s="42"/>
      <c r="AJ280" s="42"/>
      <c r="AK280" s="42"/>
      <c r="AL280" s="42"/>
      <c r="AM280" s="42"/>
      <c r="AN280" s="42"/>
      <c r="AO280" s="42"/>
      <c r="AP280" s="42"/>
    </row>
    <row r="281" spans="1:42" hidden="1" x14ac:dyDescent="0.2">
      <c r="A281" s="42"/>
      <c r="B281" s="42"/>
      <c r="C281" s="42"/>
      <c r="D281" s="42"/>
      <c r="E281" s="42"/>
      <c r="F281" s="42"/>
      <c r="G281" s="42"/>
      <c r="H281" s="42"/>
      <c r="I281" s="42"/>
      <c r="J281" s="42"/>
      <c r="K281" s="42"/>
      <c r="O281" s="42"/>
      <c r="P281" s="42"/>
      <c r="Q281" s="42"/>
      <c r="R281" s="42"/>
      <c r="S281" s="42"/>
      <c r="X281" s="42"/>
      <c r="Y281" s="42"/>
      <c r="Z281" s="42"/>
      <c r="AA281" s="42"/>
      <c r="AB281" s="42"/>
      <c r="AC281" s="42"/>
      <c r="AD281" s="42"/>
      <c r="AE281" s="42"/>
      <c r="AF281" s="42"/>
      <c r="AG281" s="42"/>
      <c r="AH281" s="42"/>
      <c r="AI281" s="42"/>
      <c r="AJ281" s="42"/>
      <c r="AK281" s="42"/>
      <c r="AL281" s="42"/>
      <c r="AM281" s="42"/>
      <c r="AN281" s="42"/>
      <c r="AO281" s="42"/>
      <c r="AP281" s="42"/>
    </row>
    <row r="282" spans="1:42" hidden="1" x14ac:dyDescent="0.2">
      <c r="A282" s="42"/>
      <c r="B282" s="42"/>
      <c r="C282" s="42"/>
      <c r="D282" s="42"/>
      <c r="E282" s="42"/>
      <c r="F282" s="42"/>
      <c r="G282" s="42"/>
      <c r="H282" s="42"/>
      <c r="I282" s="42"/>
      <c r="J282" s="42"/>
      <c r="K282" s="42"/>
      <c r="O282" s="42"/>
      <c r="P282" s="42"/>
      <c r="Q282" s="42"/>
      <c r="R282" s="42"/>
      <c r="S282" s="42"/>
      <c r="X282" s="42"/>
      <c r="Y282" s="42"/>
      <c r="Z282" s="42"/>
      <c r="AA282" s="42"/>
      <c r="AB282" s="42"/>
      <c r="AC282" s="42"/>
      <c r="AD282" s="42"/>
      <c r="AE282" s="42"/>
      <c r="AF282" s="42"/>
      <c r="AG282" s="42"/>
      <c r="AH282" s="42"/>
      <c r="AI282" s="42"/>
      <c r="AJ282" s="42"/>
      <c r="AK282" s="42"/>
      <c r="AL282" s="42"/>
      <c r="AM282" s="42"/>
      <c r="AN282" s="42"/>
      <c r="AO282" s="42"/>
      <c r="AP282" s="42"/>
    </row>
    <row r="283" spans="1:42" hidden="1" x14ac:dyDescent="0.2">
      <c r="A283" s="42"/>
      <c r="B283" s="42"/>
      <c r="C283" s="42"/>
      <c r="D283" s="42"/>
      <c r="E283" s="42"/>
      <c r="F283" s="42"/>
      <c r="G283" s="42"/>
      <c r="H283" s="42"/>
      <c r="I283" s="42"/>
      <c r="J283" s="42"/>
      <c r="K283" s="42"/>
      <c r="O283" s="42"/>
      <c r="P283" s="42"/>
      <c r="Q283" s="42"/>
      <c r="R283" s="42"/>
      <c r="S283" s="42"/>
      <c r="X283" s="42"/>
      <c r="Y283" s="42"/>
      <c r="Z283" s="42"/>
      <c r="AA283" s="42"/>
      <c r="AB283" s="42"/>
      <c r="AC283" s="42"/>
      <c r="AD283" s="42"/>
      <c r="AE283" s="42"/>
      <c r="AF283" s="42"/>
      <c r="AG283" s="42"/>
      <c r="AH283" s="42"/>
      <c r="AI283" s="42"/>
      <c r="AJ283" s="42"/>
      <c r="AK283" s="42"/>
      <c r="AL283" s="42"/>
      <c r="AM283" s="42"/>
      <c r="AN283" s="42"/>
      <c r="AO283" s="42"/>
      <c r="AP283" s="42"/>
    </row>
    <row r="284" spans="1:42" hidden="1" x14ac:dyDescent="0.2">
      <c r="A284" s="42"/>
      <c r="B284" s="42"/>
      <c r="C284" s="42"/>
      <c r="D284" s="42"/>
      <c r="E284" s="42"/>
      <c r="F284" s="42"/>
      <c r="G284" s="42"/>
      <c r="H284" s="42"/>
      <c r="I284" s="42"/>
      <c r="J284" s="42"/>
      <c r="K284" s="42"/>
      <c r="O284" s="42"/>
      <c r="P284" s="42"/>
      <c r="Q284" s="42"/>
      <c r="R284" s="42"/>
      <c r="S284" s="42"/>
      <c r="X284" s="42"/>
      <c r="Y284" s="42"/>
      <c r="Z284" s="42"/>
      <c r="AA284" s="42"/>
      <c r="AB284" s="42"/>
      <c r="AC284" s="42"/>
      <c r="AD284" s="42"/>
      <c r="AE284" s="42"/>
      <c r="AF284" s="42"/>
      <c r="AG284" s="42"/>
      <c r="AH284" s="42"/>
      <c r="AI284" s="42"/>
      <c r="AJ284" s="42"/>
      <c r="AK284" s="42"/>
      <c r="AL284" s="42"/>
      <c r="AM284" s="42"/>
      <c r="AN284" s="42"/>
      <c r="AO284" s="42"/>
      <c r="AP284" s="42"/>
    </row>
    <row r="285" spans="1:42" hidden="1" x14ac:dyDescent="0.2">
      <c r="A285" s="42"/>
      <c r="B285" s="42"/>
      <c r="C285" s="42"/>
      <c r="D285" s="42"/>
      <c r="E285" s="42"/>
      <c r="F285" s="42"/>
      <c r="G285" s="42"/>
      <c r="H285" s="42"/>
      <c r="I285" s="42"/>
      <c r="J285" s="42"/>
      <c r="K285" s="42"/>
      <c r="O285" s="42"/>
      <c r="P285" s="42"/>
      <c r="Q285" s="42"/>
      <c r="R285" s="42"/>
      <c r="S285" s="42"/>
      <c r="X285" s="42"/>
      <c r="Y285" s="42"/>
      <c r="Z285" s="42"/>
      <c r="AA285" s="42"/>
      <c r="AB285" s="42"/>
      <c r="AC285" s="42"/>
      <c r="AD285" s="42"/>
      <c r="AE285" s="42"/>
      <c r="AF285" s="42"/>
      <c r="AG285" s="42"/>
      <c r="AH285" s="42"/>
      <c r="AI285" s="42"/>
      <c r="AJ285" s="42"/>
      <c r="AK285" s="42"/>
      <c r="AL285" s="42"/>
      <c r="AM285" s="42"/>
      <c r="AN285" s="42"/>
      <c r="AO285" s="42"/>
      <c r="AP285" s="42"/>
    </row>
    <row r="286" spans="1:42" hidden="1" x14ac:dyDescent="0.2">
      <c r="A286" s="42"/>
      <c r="B286" s="42"/>
      <c r="C286" s="42"/>
      <c r="D286" s="42"/>
      <c r="E286" s="42"/>
      <c r="F286" s="42"/>
      <c r="G286" s="42"/>
      <c r="H286" s="42"/>
      <c r="I286" s="42"/>
      <c r="J286" s="42"/>
      <c r="K286" s="42"/>
      <c r="O286" s="42"/>
      <c r="P286" s="42"/>
      <c r="Q286" s="42"/>
      <c r="R286" s="42"/>
      <c r="S286" s="42"/>
      <c r="X286" s="42"/>
      <c r="Y286" s="42"/>
      <c r="Z286" s="42"/>
      <c r="AA286" s="42"/>
      <c r="AB286" s="42"/>
      <c r="AC286" s="42"/>
      <c r="AD286" s="42"/>
      <c r="AE286" s="42"/>
      <c r="AF286" s="42"/>
      <c r="AG286" s="42"/>
      <c r="AH286" s="42"/>
      <c r="AI286" s="42"/>
      <c r="AJ286" s="42"/>
      <c r="AK286" s="42"/>
      <c r="AL286" s="42"/>
      <c r="AM286" s="42"/>
      <c r="AN286" s="42"/>
      <c r="AO286" s="42"/>
      <c r="AP286" s="42"/>
    </row>
    <row r="287" spans="1:42" hidden="1" x14ac:dyDescent="0.2">
      <c r="A287" s="42"/>
      <c r="B287" s="42"/>
      <c r="C287" s="42"/>
      <c r="D287" s="42"/>
      <c r="E287" s="42"/>
      <c r="F287" s="42"/>
      <c r="G287" s="42"/>
      <c r="H287" s="42"/>
      <c r="I287" s="42"/>
      <c r="J287" s="42"/>
      <c r="K287" s="42"/>
      <c r="O287" s="42"/>
      <c r="P287" s="42"/>
      <c r="Q287" s="42"/>
      <c r="R287" s="42"/>
      <c r="S287" s="42"/>
      <c r="X287" s="42"/>
      <c r="Y287" s="42"/>
      <c r="Z287" s="42"/>
      <c r="AA287" s="42"/>
      <c r="AB287" s="42"/>
      <c r="AC287" s="42"/>
      <c r="AD287" s="42"/>
      <c r="AE287" s="42"/>
      <c r="AF287" s="42"/>
      <c r="AG287" s="42"/>
      <c r="AH287" s="42"/>
      <c r="AI287" s="42"/>
      <c r="AJ287" s="42"/>
      <c r="AK287" s="42"/>
      <c r="AL287" s="42"/>
      <c r="AM287" s="42"/>
      <c r="AN287" s="42"/>
      <c r="AO287" s="42"/>
      <c r="AP287" s="42"/>
    </row>
    <row r="288" spans="1:42" hidden="1" x14ac:dyDescent="0.2">
      <c r="A288" s="42"/>
      <c r="B288" s="42"/>
      <c r="C288" s="42"/>
      <c r="D288" s="42"/>
      <c r="E288" s="42"/>
      <c r="F288" s="42"/>
      <c r="G288" s="42"/>
      <c r="H288" s="42"/>
      <c r="I288" s="42"/>
      <c r="J288" s="42"/>
      <c r="K288" s="42"/>
      <c r="O288" s="42"/>
      <c r="P288" s="42"/>
      <c r="Q288" s="42"/>
      <c r="R288" s="42"/>
      <c r="S288" s="42"/>
      <c r="X288" s="42"/>
      <c r="Y288" s="42"/>
      <c r="Z288" s="42"/>
      <c r="AA288" s="42"/>
      <c r="AB288" s="42"/>
      <c r="AC288" s="42"/>
      <c r="AD288" s="42"/>
      <c r="AE288" s="42"/>
      <c r="AF288" s="42"/>
      <c r="AG288" s="42"/>
      <c r="AH288" s="42"/>
      <c r="AI288" s="42"/>
      <c r="AJ288" s="42"/>
      <c r="AK288" s="42"/>
      <c r="AL288" s="42"/>
      <c r="AM288" s="42"/>
      <c r="AN288" s="42"/>
      <c r="AO288" s="42"/>
      <c r="AP288" s="42"/>
    </row>
    <row r="289" spans="1:42" hidden="1" x14ac:dyDescent="0.2">
      <c r="A289" s="42"/>
      <c r="B289" s="42"/>
      <c r="C289" s="42"/>
      <c r="D289" s="42"/>
      <c r="E289" s="42"/>
      <c r="F289" s="42"/>
      <c r="G289" s="42"/>
      <c r="H289" s="42"/>
      <c r="I289" s="42"/>
      <c r="J289" s="42"/>
      <c r="K289" s="42"/>
      <c r="O289" s="42"/>
      <c r="P289" s="42"/>
      <c r="Q289" s="42"/>
      <c r="R289" s="42"/>
      <c r="S289" s="42"/>
      <c r="X289" s="42"/>
      <c r="Y289" s="42"/>
      <c r="Z289" s="42"/>
      <c r="AA289" s="42"/>
      <c r="AB289" s="42"/>
      <c r="AC289" s="42"/>
      <c r="AD289" s="42"/>
      <c r="AE289" s="42"/>
      <c r="AF289" s="42"/>
      <c r="AG289" s="42"/>
      <c r="AH289" s="42"/>
      <c r="AI289" s="42"/>
      <c r="AJ289" s="42"/>
      <c r="AK289" s="42"/>
      <c r="AL289" s="42"/>
      <c r="AM289" s="42"/>
      <c r="AN289" s="42"/>
      <c r="AO289" s="42"/>
      <c r="AP289" s="42"/>
    </row>
    <row r="290" spans="1:42" hidden="1" x14ac:dyDescent="0.2">
      <c r="A290" s="42"/>
      <c r="B290" s="42"/>
      <c r="C290" s="42"/>
      <c r="D290" s="42"/>
      <c r="E290" s="42"/>
      <c r="F290" s="42"/>
      <c r="G290" s="42"/>
      <c r="H290" s="42"/>
      <c r="I290" s="42"/>
      <c r="J290" s="42"/>
      <c r="K290" s="42"/>
      <c r="O290" s="42"/>
      <c r="P290" s="42"/>
      <c r="Q290" s="42"/>
      <c r="R290" s="42"/>
      <c r="S290" s="42"/>
      <c r="X290" s="42"/>
      <c r="Y290" s="42"/>
      <c r="Z290" s="42"/>
      <c r="AA290" s="42"/>
      <c r="AB290" s="42"/>
      <c r="AC290" s="42"/>
      <c r="AD290" s="42"/>
      <c r="AE290" s="42"/>
      <c r="AF290" s="42"/>
      <c r="AG290" s="42"/>
      <c r="AH290" s="42"/>
      <c r="AI290" s="42"/>
      <c r="AJ290" s="42"/>
      <c r="AK290" s="42"/>
      <c r="AL290" s="42"/>
      <c r="AM290" s="42"/>
      <c r="AN290" s="42"/>
      <c r="AO290" s="42"/>
      <c r="AP290" s="42"/>
    </row>
    <row r="291" spans="1:42" hidden="1" x14ac:dyDescent="0.2">
      <c r="A291" s="42"/>
      <c r="B291" s="42"/>
      <c r="C291" s="42"/>
      <c r="D291" s="42"/>
      <c r="E291" s="42"/>
      <c r="F291" s="42"/>
      <c r="G291" s="42"/>
      <c r="H291" s="42"/>
      <c r="I291" s="42"/>
      <c r="J291" s="42"/>
      <c r="K291" s="42"/>
      <c r="O291" s="42"/>
      <c r="P291" s="42"/>
      <c r="Q291" s="42"/>
      <c r="R291" s="42"/>
      <c r="S291" s="42"/>
      <c r="X291" s="42"/>
      <c r="Y291" s="42"/>
      <c r="Z291" s="42"/>
      <c r="AA291" s="42"/>
      <c r="AB291" s="42"/>
      <c r="AC291" s="42"/>
      <c r="AD291" s="42"/>
      <c r="AE291" s="42"/>
      <c r="AF291" s="42"/>
      <c r="AG291" s="42"/>
      <c r="AH291" s="42"/>
      <c r="AI291" s="42"/>
      <c r="AJ291" s="42"/>
      <c r="AK291" s="42"/>
      <c r="AL291" s="42"/>
      <c r="AM291" s="42"/>
      <c r="AN291" s="42"/>
      <c r="AO291" s="42"/>
      <c r="AP291" s="42"/>
    </row>
    <row r="292" spans="1:42" hidden="1" x14ac:dyDescent="0.2">
      <c r="A292" s="42"/>
      <c r="B292" s="42"/>
      <c r="C292" s="42"/>
      <c r="D292" s="42"/>
      <c r="E292" s="42"/>
      <c r="F292" s="42"/>
      <c r="G292" s="42"/>
      <c r="H292" s="42"/>
      <c r="I292" s="42"/>
      <c r="J292" s="42"/>
      <c r="K292" s="42"/>
      <c r="O292" s="42"/>
      <c r="P292" s="42"/>
      <c r="Q292" s="42"/>
      <c r="R292" s="42"/>
      <c r="S292" s="42"/>
      <c r="X292" s="42"/>
      <c r="Y292" s="42"/>
      <c r="Z292" s="42"/>
      <c r="AA292" s="42"/>
      <c r="AB292" s="42"/>
      <c r="AC292" s="42"/>
      <c r="AD292" s="42"/>
      <c r="AE292" s="42"/>
      <c r="AF292" s="42"/>
      <c r="AG292" s="42"/>
      <c r="AH292" s="42"/>
      <c r="AI292" s="42"/>
      <c r="AJ292" s="42"/>
      <c r="AK292" s="42"/>
      <c r="AL292" s="42"/>
      <c r="AM292" s="42"/>
      <c r="AN292" s="42"/>
      <c r="AO292" s="42"/>
      <c r="AP292" s="42"/>
    </row>
    <row r="293" spans="1:42" hidden="1" x14ac:dyDescent="0.2">
      <c r="A293" s="42"/>
      <c r="B293" s="42"/>
      <c r="C293" s="42"/>
      <c r="D293" s="42"/>
      <c r="E293" s="42"/>
      <c r="F293" s="42"/>
      <c r="G293" s="42"/>
      <c r="H293" s="42"/>
      <c r="I293" s="42"/>
      <c r="J293" s="42"/>
      <c r="K293" s="42"/>
      <c r="O293" s="42"/>
      <c r="P293" s="42"/>
      <c r="Q293" s="42"/>
      <c r="R293" s="42"/>
      <c r="S293" s="42"/>
      <c r="X293" s="42"/>
      <c r="Y293" s="42"/>
      <c r="Z293" s="42"/>
      <c r="AA293" s="42"/>
      <c r="AB293" s="42"/>
      <c r="AC293" s="42"/>
      <c r="AD293" s="42"/>
      <c r="AE293" s="42"/>
      <c r="AF293" s="42"/>
      <c r="AG293" s="42"/>
      <c r="AH293" s="42"/>
      <c r="AI293" s="42"/>
      <c r="AJ293" s="42"/>
      <c r="AK293" s="42"/>
      <c r="AL293" s="42"/>
      <c r="AM293" s="42"/>
      <c r="AN293" s="42"/>
      <c r="AO293" s="42"/>
      <c r="AP293" s="42"/>
    </row>
    <row r="294" spans="1:42" hidden="1" x14ac:dyDescent="0.2">
      <c r="A294" s="42"/>
      <c r="B294" s="42"/>
      <c r="C294" s="42"/>
      <c r="D294" s="42"/>
      <c r="E294" s="42"/>
      <c r="F294" s="42"/>
      <c r="G294" s="42"/>
      <c r="H294" s="42"/>
      <c r="I294" s="42"/>
      <c r="J294" s="42"/>
      <c r="K294" s="42"/>
      <c r="O294" s="42"/>
      <c r="P294" s="42"/>
      <c r="Q294" s="42"/>
      <c r="R294" s="42"/>
      <c r="S294" s="42"/>
      <c r="X294" s="42"/>
      <c r="Y294" s="42"/>
      <c r="Z294" s="42"/>
      <c r="AA294" s="42"/>
      <c r="AB294" s="42"/>
      <c r="AC294" s="42"/>
      <c r="AD294" s="42"/>
      <c r="AE294" s="42"/>
      <c r="AF294" s="42"/>
      <c r="AG294" s="42"/>
      <c r="AH294" s="42"/>
      <c r="AI294" s="42"/>
      <c r="AJ294" s="42"/>
      <c r="AK294" s="42"/>
      <c r="AL294" s="42"/>
      <c r="AM294" s="42"/>
      <c r="AN294" s="42"/>
      <c r="AO294" s="42"/>
      <c r="AP294" s="42"/>
    </row>
    <row r="295" spans="1:42" hidden="1" x14ac:dyDescent="0.2">
      <c r="A295" s="42"/>
      <c r="B295" s="42"/>
      <c r="C295" s="42"/>
      <c r="D295" s="42"/>
      <c r="E295" s="42"/>
      <c r="F295" s="42"/>
      <c r="G295" s="42"/>
      <c r="H295" s="42"/>
      <c r="I295" s="42"/>
      <c r="J295" s="42"/>
      <c r="K295" s="42"/>
      <c r="O295" s="42"/>
      <c r="P295" s="42"/>
      <c r="Q295" s="42"/>
      <c r="R295" s="42"/>
      <c r="S295" s="42"/>
      <c r="X295" s="42"/>
      <c r="Y295" s="42"/>
      <c r="Z295" s="42"/>
      <c r="AA295" s="42"/>
      <c r="AB295" s="42"/>
      <c r="AC295" s="42"/>
      <c r="AD295" s="42"/>
      <c r="AE295" s="42"/>
      <c r="AF295" s="42"/>
      <c r="AG295" s="42"/>
      <c r="AH295" s="42"/>
      <c r="AI295" s="42"/>
      <c r="AJ295" s="42"/>
      <c r="AK295" s="42"/>
      <c r="AL295" s="42"/>
      <c r="AM295" s="42"/>
      <c r="AN295" s="42"/>
      <c r="AO295" s="42"/>
      <c r="AP295" s="42"/>
    </row>
    <row r="296" spans="1:42" hidden="1" x14ac:dyDescent="0.2">
      <c r="A296" s="42"/>
      <c r="B296" s="42"/>
      <c r="C296" s="42"/>
      <c r="D296" s="42"/>
      <c r="E296" s="42"/>
      <c r="F296" s="42"/>
      <c r="G296" s="42"/>
      <c r="H296" s="42"/>
      <c r="I296" s="42"/>
      <c r="J296" s="42"/>
      <c r="K296" s="42"/>
      <c r="O296" s="42"/>
      <c r="P296" s="42"/>
      <c r="Q296" s="42"/>
      <c r="R296" s="42"/>
      <c r="S296" s="42"/>
      <c r="X296" s="42"/>
      <c r="Y296" s="42"/>
      <c r="Z296" s="42"/>
      <c r="AA296" s="42"/>
      <c r="AB296" s="42"/>
      <c r="AC296" s="42"/>
      <c r="AD296" s="42"/>
      <c r="AE296" s="42"/>
      <c r="AF296" s="42"/>
      <c r="AG296" s="42"/>
      <c r="AH296" s="42"/>
      <c r="AI296" s="42"/>
      <c r="AJ296" s="42"/>
      <c r="AK296" s="42"/>
      <c r="AL296" s="42"/>
      <c r="AM296" s="42"/>
      <c r="AN296" s="42"/>
      <c r="AO296" s="42"/>
      <c r="AP296" s="42"/>
    </row>
    <row r="297" spans="1:42" hidden="1" x14ac:dyDescent="0.2">
      <c r="A297" s="42"/>
      <c r="B297" s="42"/>
      <c r="C297" s="42"/>
      <c r="D297" s="42"/>
      <c r="E297" s="42"/>
      <c r="F297" s="42"/>
      <c r="G297" s="42"/>
      <c r="H297" s="42"/>
      <c r="I297" s="42"/>
      <c r="J297" s="42"/>
      <c r="K297" s="42"/>
      <c r="O297" s="42"/>
      <c r="P297" s="42"/>
      <c r="Q297" s="42"/>
      <c r="R297" s="42"/>
      <c r="S297" s="42"/>
      <c r="X297" s="42"/>
      <c r="Y297" s="42"/>
      <c r="Z297" s="42"/>
      <c r="AA297" s="42"/>
      <c r="AB297" s="42"/>
      <c r="AC297" s="42"/>
      <c r="AD297" s="42"/>
      <c r="AE297" s="42"/>
      <c r="AF297" s="42"/>
      <c r="AG297" s="42"/>
      <c r="AH297" s="42"/>
      <c r="AI297" s="42"/>
      <c r="AJ297" s="42"/>
      <c r="AK297" s="42"/>
      <c r="AL297" s="42"/>
      <c r="AM297" s="42"/>
      <c r="AN297" s="42"/>
      <c r="AO297" s="42"/>
      <c r="AP297" s="42"/>
    </row>
    <row r="298" spans="1:42" x14ac:dyDescent="0.2">
      <c r="A298" s="42"/>
      <c r="B298" s="42"/>
      <c r="C298" s="42"/>
      <c r="D298" s="42"/>
      <c r="E298" s="42"/>
      <c r="F298" s="42"/>
      <c r="G298" s="42"/>
      <c r="H298" s="42"/>
      <c r="I298" s="42"/>
      <c r="J298" s="42"/>
      <c r="K298" s="42"/>
      <c r="O298" s="42"/>
      <c r="P298" s="42"/>
      <c r="Q298" s="42"/>
      <c r="R298" s="42"/>
      <c r="S298" s="42"/>
      <c r="X298" s="42"/>
      <c r="Y298" s="42"/>
      <c r="Z298" s="42"/>
      <c r="AA298" s="42"/>
      <c r="AB298" s="42"/>
      <c r="AC298" s="42"/>
      <c r="AD298" s="42"/>
      <c r="AE298" s="42"/>
      <c r="AF298" s="42"/>
      <c r="AG298" s="42"/>
      <c r="AH298" s="42"/>
      <c r="AI298" s="42"/>
      <c r="AJ298" s="42"/>
      <c r="AK298" s="42"/>
      <c r="AL298" s="42"/>
      <c r="AM298" s="42"/>
      <c r="AN298" s="42"/>
      <c r="AO298" s="42"/>
      <c r="AP298" s="42"/>
    </row>
    <row r="299" spans="1:42" x14ac:dyDescent="0.2">
      <c r="A299" s="277"/>
      <c r="B299" s="277"/>
      <c r="C299" s="1364" t="s">
        <v>190</v>
      </c>
      <c r="D299" s="617"/>
      <c r="E299" s="617"/>
    </row>
    <row r="300" spans="1:42" x14ac:dyDescent="0.2">
      <c r="A300" s="279">
        <v>1</v>
      </c>
      <c r="B300" s="1334" t="str">
        <f>IFERROR(INDEX(B$1:B$100,MATCH(A300,A$1:A$100,0)),"")</f>
        <v>Jaan Sepp, Oskar Sepp</v>
      </c>
      <c r="C300" s="55">
        <f>MAX(A300:A400)</f>
        <v>15</v>
      </c>
      <c r="D300" s="55"/>
      <c r="E300" s="55"/>
    </row>
    <row r="301" spans="1:42" x14ac:dyDescent="0.2">
      <c r="A301" s="279">
        <v>2</v>
      </c>
      <c r="B301" s="1334" t="str">
        <f t="shared" ref="B301:B314" si="11">IFERROR(INDEX(B$1:B$100,MATCH(A301,A$1:A$100,0)),"")</f>
        <v>Ivar Viljaste, Kristo Viljaste</v>
      </c>
      <c r="C301" s="34">
        <f t="shared" ref="C301:C314" si="12">C300-1</f>
        <v>14</v>
      </c>
      <c r="D301" s="34"/>
      <c r="E301" s="34"/>
      <c r="O301" s="188"/>
    </row>
    <row r="302" spans="1:42" x14ac:dyDescent="0.2">
      <c r="A302" s="279">
        <v>3</v>
      </c>
      <c r="B302" s="1334" t="str">
        <f t="shared" si="11"/>
        <v>Mait Metsla, Matti Vinni</v>
      </c>
      <c r="C302" s="1361">
        <v>12.5</v>
      </c>
      <c r="D302" s="34"/>
      <c r="E302" s="34"/>
      <c r="O302" s="188"/>
    </row>
    <row r="303" spans="1:42" x14ac:dyDescent="0.2">
      <c r="A303" s="279">
        <v>3</v>
      </c>
      <c r="B303" s="1334" t="str">
        <f>B11</f>
        <v>Tõnu Kapper, Vladimir Ogneštšikov</v>
      </c>
      <c r="C303" s="1361">
        <v>12.5</v>
      </c>
      <c r="D303" s="34"/>
      <c r="E303" s="34"/>
      <c r="O303" s="188"/>
    </row>
    <row r="304" spans="1:42" x14ac:dyDescent="0.2">
      <c r="A304" s="279">
        <v>5</v>
      </c>
      <c r="B304" s="1334" t="str">
        <f t="shared" si="11"/>
        <v>Andrei Grintšak, Argo Sepp</v>
      </c>
      <c r="C304" s="1361">
        <v>11</v>
      </c>
      <c r="D304" s="34"/>
      <c r="E304" s="34"/>
      <c r="O304" s="188"/>
    </row>
    <row r="305" spans="1:15" x14ac:dyDescent="0.2">
      <c r="A305" s="279">
        <v>6</v>
      </c>
      <c r="B305" s="1334" t="str">
        <f t="shared" si="11"/>
        <v>Johannes Neiland, Väino Aul</v>
      </c>
      <c r="C305" s="34">
        <f t="shared" si="12"/>
        <v>10</v>
      </c>
      <c r="D305" s="34"/>
      <c r="E305" s="34"/>
    </row>
    <row r="306" spans="1:15" x14ac:dyDescent="0.2">
      <c r="A306" s="279">
        <v>7</v>
      </c>
      <c r="B306" s="1334" t="str">
        <f t="shared" si="11"/>
        <v>Oksana Sažina, Oleg Rõndenkov</v>
      </c>
      <c r="C306" s="34">
        <f t="shared" si="12"/>
        <v>9</v>
      </c>
      <c r="D306" s="34"/>
      <c r="E306" s="34"/>
    </row>
    <row r="307" spans="1:15" x14ac:dyDescent="0.2">
      <c r="A307" s="279">
        <v>8</v>
      </c>
      <c r="B307" s="1334" t="str">
        <f t="shared" si="11"/>
        <v>Karla Purgats, Lemmit Toomra</v>
      </c>
      <c r="C307" s="34">
        <f t="shared" si="12"/>
        <v>8</v>
      </c>
      <c r="D307" s="34"/>
      <c r="E307" s="34"/>
      <c r="O307" s="188"/>
    </row>
    <row r="308" spans="1:15" x14ac:dyDescent="0.2">
      <c r="A308" s="279">
        <v>9</v>
      </c>
      <c r="B308" s="1334" t="str">
        <f t="shared" si="11"/>
        <v>Einar Juhkam, Kenneth Muusikus</v>
      </c>
      <c r="C308" s="34">
        <f t="shared" si="12"/>
        <v>7</v>
      </c>
      <c r="D308" s="34"/>
      <c r="E308" s="34"/>
      <c r="O308" s="188"/>
    </row>
    <row r="309" spans="1:15" x14ac:dyDescent="0.2">
      <c r="A309" s="279">
        <v>10</v>
      </c>
      <c r="B309" s="1334" t="str">
        <f t="shared" si="11"/>
        <v>Elmo Lageda, Tõnu Piik</v>
      </c>
      <c r="C309" s="34">
        <f t="shared" si="12"/>
        <v>6</v>
      </c>
      <c r="D309" s="34"/>
      <c r="E309" s="34"/>
      <c r="O309" s="188"/>
    </row>
    <row r="310" spans="1:15" x14ac:dyDescent="0.2">
      <c r="A310" s="279">
        <v>11</v>
      </c>
      <c r="B310" s="1334" t="str">
        <f t="shared" si="11"/>
        <v>Enn Tokman, Tarmo Bombe</v>
      </c>
      <c r="C310" s="34">
        <f t="shared" si="12"/>
        <v>5</v>
      </c>
      <c r="D310" s="34"/>
      <c r="E310" s="34"/>
    </row>
    <row r="311" spans="1:15" x14ac:dyDescent="0.2">
      <c r="A311" s="279">
        <v>12</v>
      </c>
      <c r="B311" s="1334" t="str">
        <f t="shared" si="11"/>
        <v>Meelis Luud, Urmas Randlaine</v>
      </c>
      <c r="C311" s="34">
        <f t="shared" si="12"/>
        <v>4</v>
      </c>
      <c r="D311" s="34"/>
      <c r="E311" s="34"/>
    </row>
    <row r="312" spans="1:15" x14ac:dyDescent="0.2">
      <c r="A312" s="279">
        <v>13</v>
      </c>
      <c r="B312" s="1334" t="str">
        <f t="shared" si="11"/>
        <v>Janek Tarto, Romek Tarto</v>
      </c>
      <c r="C312" s="34">
        <f t="shared" si="12"/>
        <v>3</v>
      </c>
      <c r="D312" s="34"/>
      <c r="E312" s="34"/>
      <c r="F312" s="862"/>
    </row>
    <row r="313" spans="1:15" x14ac:dyDescent="0.2">
      <c r="A313" s="279">
        <v>14</v>
      </c>
      <c r="B313" s="1334" t="str">
        <f t="shared" si="11"/>
        <v>Andres Veski, Svetlana Veski</v>
      </c>
      <c r="C313" s="34">
        <f t="shared" si="12"/>
        <v>2</v>
      </c>
      <c r="D313" s="34"/>
      <c r="E313" s="34"/>
      <c r="F313" s="34"/>
      <c r="O313" s="188"/>
    </row>
    <row r="314" spans="1:15" x14ac:dyDescent="0.2">
      <c r="A314" s="279">
        <v>15</v>
      </c>
      <c r="B314" s="1334" t="str">
        <f t="shared" si="11"/>
        <v>Henri Mitt, Urmas Jõeäär</v>
      </c>
      <c r="C314" s="34">
        <f t="shared" si="12"/>
        <v>1</v>
      </c>
    </row>
    <row r="317" spans="1:15" x14ac:dyDescent="0.2">
      <c r="O317" s="188"/>
    </row>
  </sheetData>
  <conditionalFormatting sqref="A300:A314">
    <cfRule type="duplicateValues" dxfId="840" priority="87"/>
  </conditionalFormatting>
  <conditionalFormatting sqref="AI8:AI22 AO8:AO22 AM8:AM22">
    <cfRule type="expression" dxfId="839" priority="86">
      <formula>AND(AJ8="",COUNTIF(AI8,"*,*")=0)</formula>
    </cfRule>
  </conditionalFormatting>
  <conditionalFormatting sqref="AK8:AK22">
    <cfRule type="expression" dxfId="838" priority="84">
      <formula>AND(AL8="",FIND(",",AK8))</formula>
    </cfRule>
    <cfRule type="expression" dxfId="837" priority="85">
      <formula>AND(AL8="",COUNTIF(AK8,"*,*")=0)</formula>
    </cfRule>
  </conditionalFormatting>
  <conditionalFormatting sqref="B301:B314">
    <cfRule type="containsBlanks" dxfId="836" priority="82">
      <formula>LEN(TRIM(B301))=0</formula>
    </cfRule>
    <cfRule type="duplicateValues" dxfId="835" priority="83"/>
  </conditionalFormatting>
  <conditionalFormatting sqref="B300:B314">
    <cfRule type="expression" dxfId="834" priority="77">
      <formula>A300=3</formula>
    </cfRule>
    <cfRule type="expression" dxfId="833" priority="78">
      <formula>A300=2</formula>
    </cfRule>
    <cfRule type="expression" dxfId="832" priority="79">
      <formula>A300=1</formula>
    </cfRule>
    <cfRule type="containsBlanks" dxfId="831" priority="80">
      <formula>LEN(TRIM(B300))=0</formula>
    </cfRule>
    <cfRule type="duplicateValues" dxfId="830" priority="81"/>
  </conditionalFormatting>
  <conditionalFormatting sqref="A8:A22">
    <cfRule type="duplicateValues" dxfId="829" priority="40"/>
  </conditionalFormatting>
  <conditionalFormatting sqref="C8:C22">
    <cfRule type="expression" dxfId="828" priority="21">
      <formula>IF($C8&gt;$E8,TRUE)</formula>
    </cfRule>
  </conditionalFormatting>
  <conditionalFormatting sqref="E8:E22">
    <cfRule type="expression" dxfId="827" priority="22">
      <formula>IF($C8&lt;$E8,TRUE)</formula>
    </cfRule>
  </conditionalFormatting>
  <conditionalFormatting sqref="K8:K22">
    <cfRule type="expression" dxfId="826" priority="29">
      <formula>IF($K8&gt;$M8,TRUE)</formula>
    </cfRule>
  </conditionalFormatting>
  <conditionalFormatting sqref="M8:M22">
    <cfRule type="expression" dxfId="825" priority="30">
      <formula>IF($K8&lt;$M8,TRUE)</formula>
    </cfRule>
  </conditionalFormatting>
  <conditionalFormatting sqref="O8:O22">
    <cfRule type="expression" dxfId="824" priority="33">
      <formula>IF($O8&gt;$Q8,TRUE)</formula>
    </cfRule>
  </conditionalFormatting>
  <conditionalFormatting sqref="Q8:Q22">
    <cfRule type="expression" dxfId="823" priority="34">
      <formula>IF($O8&lt;$Q8,TRUE)</formula>
    </cfRule>
  </conditionalFormatting>
  <conditionalFormatting sqref="S8:S22">
    <cfRule type="expression" dxfId="822" priority="37">
      <formula>IF($S8&gt;$U8,TRUE)</formula>
    </cfRule>
  </conditionalFormatting>
  <conditionalFormatting sqref="U8:U19">
    <cfRule type="expression" dxfId="821" priority="38">
      <formula>IF($S8&lt;$U8,TRUE)</formula>
    </cfRule>
  </conditionalFormatting>
  <conditionalFormatting sqref="G8:G22">
    <cfRule type="expression" dxfId="820" priority="25">
      <formula>IF($G8&gt;$I8,TRUE)</formula>
    </cfRule>
  </conditionalFormatting>
  <conditionalFormatting sqref="I8:I22">
    <cfRule type="expression" dxfId="819" priority="26">
      <formula>IF($G8&lt;$I8,TRUE)</formula>
    </cfRule>
  </conditionalFormatting>
  <conditionalFormatting sqref="F8:F22">
    <cfRule type="containsText" dxfId="818" priority="7" operator="containsText" text="vaba voor">
      <formula>NOT(ISERROR(SEARCH("vaba voor",F8)))</formula>
    </cfRule>
  </conditionalFormatting>
  <conditionalFormatting sqref="N8:N22">
    <cfRule type="containsText" dxfId="817" priority="5" operator="containsText" text="vaba voor">
      <formula>NOT(ISERROR(SEARCH("vaba voor",N8)))</formula>
    </cfRule>
  </conditionalFormatting>
  <conditionalFormatting sqref="R8:R22">
    <cfRule type="containsText" dxfId="816" priority="8" operator="containsText" text="vaba voor">
      <formula>NOT(ISERROR(SEARCH("vaba voor",R8)))</formula>
    </cfRule>
  </conditionalFormatting>
  <conditionalFormatting sqref="V8:V22">
    <cfRule type="containsText" dxfId="815" priority="4" operator="containsText" text="vaba voor">
      <formula>NOT(ISERROR(SEARCH("vaba voor",V8)))</formula>
    </cfRule>
  </conditionalFormatting>
  <conditionalFormatting sqref="Z8:Z22">
    <cfRule type="containsText" dxfId="814" priority="3" operator="containsText" text="vaba voor">
      <formula>NOT(ISERROR(SEARCH("vaba voor",Z8)))</formula>
    </cfRule>
  </conditionalFormatting>
  <conditionalFormatting sqref="W8:W22">
    <cfRule type="expression" dxfId="813" priority="12">
      <formula>IF($W8&gt;$Y8,TRUE)</formula>
    </cfRule>
  </conditionalFormatting>
  <conditionalFormatting sqref="Y8:Y22">
    <cfRule type="expression" dxfId="812" priority="13">
      <formula>IF($W8&lt;$Y8,TRUE)</formula>
    </cfRule>
  </conditionalFormatting>
  <conditionalFormatting sqref="J8:J22">
    <cfRule type="containsText" dxfId="811" priority="6" operator="containsText" text="vaba voor">
      <formula>NOT(ISERROR(SEARCH("vaba voor",J8)))</formula>
    </cfRule>
  </conditionalFormatting>
  <conditionalFormatting sqref="C8:F22">
    <cfRule type="expression" dxfId="810" priority="17">
      <formula>IF(AND(ISNUMBER($C8),$C8=$E8),TRUE)</formula>
    </cfRule>
    <cfRule type="expression" dxfId="809" priority="19">
      <formula>IF($C8&gt;$E8,TRUE)</formula>
    </cfRule>
    <cfRule type="expression" dxfId="808" priority="20">
      <formula>IF($C8&lt;$E8,TRUE)</formula>
    </cfRule>
  </conditionalFormatting>
  <conditionalFormatting sqref="G8:J22">
    <cfRule type="expression" dxfId="807" priority="18">
      <formula>IF(AND(ISNUMBER($G8),$G8=$I8),TRUE)</formula>
    </cfRule>
    <cfRule type="expression" dxfId="806" priority="23">
      <formula>IF($G8&gt;$I8,TRUE)</formula>
    </cfRule>
    <cfRule type="expression" dxfId="805" priority="24">
      <formula>IF($G8&lt;$I8,TRUE)</formula>
    </cfRule>
  </conditionalFormatting>
  <conditionalFormatting sqref="K8:N22">
    <cfRule type="expression" dxfId="804" priority="16">
      <formula>IF(AND(ISNUMBER($K8),$K8=$M8),TRUE)</formula>
    </cfRule>
    <cfRule type="expression" dxfId="803" priority="27">
      <formula>IF($K8&gt;$M8,TRUE)</formula>
    </cfRule>
    <cfRule type="expression" dxfId="802" priority="28">
      <formula>IF($K8&lt;$M8,TRUE)</formula>
    </cfRule>
  </conditionalFormatting>
  <conditionalFormatting sqref="O8:R22">
    <cfRule type="expression" dxfId="801" priority="15">
      <formula>IF(AND(ISNUMBER($O8),$O8=$Q8),TRUE)</formula>
    </cfRule>
    <cfRule type="expression" dxfId="800" priority="31">
      <formula>IF($O8&gt;$Q8,TRUE)</formula>
    </cfRule>
    <cfRule type="expression" dxfId="799" priority="32">
      <formula>IF($O8&lt;$Q8,TRUE)</formula>
    </cfRule>
  </conditionalFormatting>
  <conditionalFormatting sqref="S8:V22">
    <cfRule type="expression" dxfId="798" priority="14">
      <formula>IF(AND(ISNUMBER($S8),$S8=$U8),TRUE)</formula>
    </cfRule>
    <cfRule type="expression" dxfId="797" priority="35">
      <formula>IF($S8&gt;$U8,TRUE)</formula>
    </cfRule>
    <cfRule type="expression" dxfId="796" priority="36">
      <formula>IF($S8&lt;$U8,TRUE)</formula>
    </cfRule>
  </conditionalFormatting>
  <conditionalFormatting sqref="W8:Z22">
    <cfRule type="expression" dxfId="795" priority="9">
      <formula>IF(AND(ISNUMBER($W8),$W8=$Y8),TRUE)</formula>
    </cfRule>
    <cfRule type="expression" dxfId="794" priority="10">
      <formula>IF($W8&gt;$Y8,TRUE)</formula>
    </cfRule>
    <cfRule type="expression" dxfId="793" priority="11">
      <formula>IF($W8&lt;$Y8,TRUE)</formula>
    </cfRule>
  </conditionalFormatting>
  <conditionalFormatting sqref="C8:C22 G8:G22 K8:K22 O8:O22 S8:S22 W8:W22">
    <cfRule type="expression" dxfId="792" priority="1">
      <formula>AND(C8=0,E8=13)</formula>
    </cfRule>
  </conditionalFormatting>
  <conditionalFormatting sqref="E8:E22 I8:I22 M8:M22 Q8:Q22 U8:U22 Y8:Y22">
    <cfRule type="expression" dxfId="791" priority="2">
      <formula>AND(E8=0,C8=13)</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9FF99"/>
    <pageSetUpPr fitToPage="1"/>
  </sheetPr>
  <dimension ref="A1:AL73"/>
  <sheetViews>
    <sheetView showGridLines="0" showRowColHeaders="0" zoomScaleNormal="100" workbookViewId="0">
      <pane ySplit="4" topLeftCell="A5" activePane="bottomLeft" state="frozen"/>
      <selection pane="bottomLeft" activeCell="W1" sqref="W1"/>
    </sheetView>
  </sheetViews>
  <sheetFormatPr defaultRowHeight="12.75" x14ac:dyDescent="0.2"/>
  <cols>
    <col min="1" max="1" width="3.28515625" customWidth="1"/>
    <col min="2" max="2" width="18.42578125" bestFit="1" customWidth="1"/>
    <col min="3" max="3" width="2.28515625" hidden="1" customWidth="1"/>
    <col min="4" max="4" width="2" hidden="1" customWidth="1"/>
    <col min="5" max="5" width="2.28515625" hidden="1" customWidth="1"/>
    <col min="6" max="6" width="3.28515625" bestFit="1" customWidth="1"/>
    <col min="7" max="19" width="2.7109375" customWidth="1"/>
    <col min="20" max="20" width="2.7109375" hidden="1" customWidth="1"/>
    <col min="21" max="31" width="2.7109375" customWidth="1"/>
    <col min="32" max="32" width="3.28515625" hidden="1" customWidth="1"/>
    <col min="33" max="33" width="18.42578125" style="293" bestFit="1" customWidth="1"/>
    <col min="34" max="34" width="5.140625" bestFit="1" customWidth="1"/>
    <col min="35" max="35" width="6.5703125" customWidth="1"/>
    <col min="36" max="36" width="5.7109375" bestFit="1" customWidth="1"/>
    <col min="37" max="37" width="5.5703125" bestFit="1" customWidth="1"/>
    <col min="38" max="38" width="10.140625" customWidth="1"/>
  </cols>
  <sheetData>
    <row r="1" spans="1:38" x14ac:dyDescent="0.2">
      <c r="A1" s="31" t="s">
        <v>511</v>
      </c>
      <c r="N1" s="614" t="s">
        <v>446</v>
      </c>
      <c r="O1" s="671">
        <v>2</v>
      </c>
      <c r="P1" t="s">
        <v>493</v>
      </c>
      <c r="U1" s="28" t="str">
        <f>HYPERLINK("#Kalend!I1","Kalender")</f>
        <v>Kalender</v>
      </c>
      <c r="AH1" s="116" t="s">
        <v>75</v>
      </c>
      <c r="AI1" s="144"/>
    </row>
    <row r="2" spans="1:38" x14ac:dyDescent="0.2">
      <c r="A2" s="2" t="s">
        <v>512</v>
      </c>
      <c r="N2" s="614" t="s">
        <v>447</v>
      </c>
      <c r="O2" s="679">
        <v>1</v>
      </c>
      <c r="P2" t="s">
        <v>513</v>
      </c>
      <c r="AH2" s="119" t="s">
        <v>76</v>
      </c>
      <c r="AI2" s="290"/>
    </row>
    <row r="3" spans="1:38" x14ac:dyDescent="0.2">
      <c r="A3" s="2" t="s">
        <v>514</v>
      </c>
      <c r="N3" s="614" t="s">
        <v>448</v>
      </c>
      <c r="O3" s="155">
        <v>0</v>
      </c>
      <c r="P3" t="s">
        <v>493</v>
      </c>
      <c r="AH3" s="120" t="s">
        <v>77</v>
      </c>
      <c r="AI3" s="290"/>
    </row>
    <row r="4" spans="1:38" x14ac:dyDescent="0.2">
      <c r="A4" s="2" t="s">
        <v>515</v>
      </c>
      <c r="U4" s="668"/>
    </row>
    <row r="5" spans="1:38" x14ac:dyDescent="0.2">
      <c r="AL5" s="668"/>
    </row>
    <row r="6" spans="1:38" x14ac:dyDescent="0.2">
      <c r="A6" s="693" t="s">
        <v>24</v>
      </c>
      <c r="B6" s="47" t="s">
        <v>14</v>
      </c>
      <c r="C6" s="47" t="s">
        <v>83</v>
      </c>
      <c r="D6" s="47" t="s">
        <v>84</v>
      </c>
      <c r="E6" s="47" t="s">
        <v>13</v>
      </c>
      <c r="F6" s="47" t="s">
        <v>24</v>
      </c>
      <c r="G6" s="47">
        <v>1</v>
      </c>
      <c r="H6" s="47">
        <v>2</v>
      </c>
      <c r="I6" s="47">
        <v>3</v>
      </c>
      <c r="J6" s="47">
        <v>4</v>
      </c>
      <c r="K6" s="47">
        <v>5</v>
      </c>
      <c r="L6" s="47">
        <v>6</v>
      </c>
      <c r="M6" s="47">
        <v>7</v>
      </c>
      <c r="N6" s="47">
        <v>8</v>
      </c>
      <c r="O6" s="47">
        <v>9</v>
      </c>
      <c r="P6" s="47">
        <v>10</v>
      </c>
      <c r="Q6" s="47">
        <v>11</v>
      </c>
      <c r="R6" s="47">
        <v>12</v>
      </c>
      <c r="S6" s="47">
        <v>13</v>
      </c>
      <c r="T6" s="47">
        <v>14</v>
      </c>
      <c r="U6" s="47">
        <v>15</v>
      </c>
      <c r="V6" s="47">
        <v>16</v>
      </c>
      <c r="W6" s="47">
        <v>17</v>
      </c>
      <c r="X6" s="47">
        <v>18</v>
      </c>
      <c r="Y6" s="47">
        <v>19</v>
      </c>
      <c r="Z6" s="47">
        <v>20</v>
      </c>
      <c r="AA6" s="47">
        <v>21</v>
      </c>
      <c r="AB6" s="47">
        <v>22</v>
      </c>
      <c r="AC6" s="47">
        <v>23</v>
      </c>
      <c r="AD6" s="47">
        <v>24</v>
      </c>
      <c r="AE6" s="47">
        <v>25</v>
      </c>
      <c r="AF6" s="47" t="s">
        <v>24</v>
      </c>
      <c r="AG6" s="47" t="s">
        <v>14</v>
      </c>
      <c r="AH6" s="47" t="s">
        <v>26</v>
      </c>
      <c r="AI6" s="47" t="s">
        <v>25</v>
      </c>
      <c r="AJ6" s="657" t="s">
        <v>12</v>
      </c>
      <c r="AK6" s="657" t="s">
        <v>27</v>
      </c>
      <c r="AL6" s="692" t="s">
        <v>517</v>
      </c>
    </row>
    <row r="7" spans="1:38" x14ac:dyDescent="0.2">
      <c r="A7" s="694">
        <v>1</v>
      </c>
      <c r="B7" s="38" t="s">
        <v>206</v>
      </c>
      <c r="C7" s="40"/>
      <c r="D7" s="40" t="s">
        <v>138</v>
      </c>
      <c r="E7" s="40"/>
      <c r="F7" s="48">
        <v>1</v>
      </c>
      <c r="G7" s="39"/>
      <c r="H7" s="40">
        <v>4</v>
      </c>
      <c r="I7" s="40">
        <v>0</v>
      </c>
      <c r="J7" s="40">
        <v>2</v>
      </c>
      <c r="K7" s="40">
        <v>2</v>
      </c>
      <c r="L7" s="40"/>
      <c r="M7" s="40">
        <v>4</v>
      </c>
      <c r="N7" s="40">
        <v>4</v>
      </c>
      <c r="O7" s="40">
        <v>0</v>
      </c>
      <c r="P7" s="40">
        <v>3</v>
      </c>
      <c r="Q7" s="40">
        <v>2</v>
      </c>
      <c r="R7" s="40">
        <v>2</v>
      </c>
      <c r="S7" s="40">
        <v>0</v>
      </c>
      <c r="T7" s="40"/>
      <c r="U7" s="40">
        <v>0</v>
      </c>
      <c r="V7" s="40">
        <v>3</v>
      </c>
      <c r="W7" s="40">
        <v>1</v>
      </c>
      <c r="X7" s="40">
        <v>4</v>
      </c>
      <c r="Y7" s="40">
        <v>1</v>
      </c>
      <c r="Z7" s="40">
        <v>2</v>
      </c>
      <c r="AA7" s="40">
        <v>2</v>
      </c>
      <c r="AB7" s="40">
        <v>2</v>
      </c>
      <c r="AC7" s="40">
        <v>1</v>
      </c>
      <c r="AD7" s="40">
        <v>1</v>
      </c>
      <c r="AE7" s="40">
        <v>2</v>
      </c>
      <c r="AF7" s="48">
        <v>1</v>
      </c>
      <c r="AG7" s="661" t="str">
        <f t="shared" ref="AG7:AG31" si="0">B7</f>
        <v>Romek Tarto</v>
      </c>
      <c r="AH7" s="41">
        <f>RANK(AI7,AI$7:AI$31,0)</f>
        <v>2</v>
      </c>
      <c r="AI7" s="29">
        <f>AJ7*$O$1+AK7*$O$2+AL7*0.001</f>
        <v>29</v>
      </c>
      <c r="AJ7" s="155">
        <v>12</v>
      </c>
      <c r="AK7" s="155">
        <v>5</v>
      </c>
      <c r="AL7" s="155"/>
    </row>
    <row r="8" spans="1:38" x14ac:dyDescent="0.2">
      <c r="A8" s="694">
        <v>2</v>
      </c>
      <c r="B8" s="37" t="s">
        <v>125</v>
      </c>
      <c r="C8" s="36"/>
      <c r="D8" s="36" t="s">
        <v>138</v>
      </c>
      <c r="E8" s="36" t="s">
        <v>187</v>
      </c>
      <c r="F8" s="48">
        <v>2</v>
      </c>
      <c r="G8" s="40">
        <v>0</v>
      </c>
      <c r="H8" s="39" t="s">
        <v>173</v>
      </c>
      <c r="I8" s="40">
        <v>4</v>
      </c>
      <c r="J8" s="40">
        <v>1</v>
      </c>
      <c r="K8" s="40">
        <v>1</v>
      </c>
      <c r="L8" s="40"/>
      <c r="M8" s="40">
        <v>3</v>
      </c>
      <c r="N8" s="40">
        <v>2</v>
      </c>
      <c r="O8" s="40">
        <v>4</v>
      </c>
      <c r="P8" s="40">
        <v>2</v>
      </c>
      <c r="Q8" s="40">
        <v>3</v>
      </c>
      <c r="R8" s="40">
        <v>3</v>
      </c>
      <c r="S8" s="40">
        <v>3</v>
      </c>
      <c r="T8" s="40"/>
      <c r="U8" s="40">
        <v>1</v>
      </c>
      <c r="V8" s="40">
        <v>5</v>
      </c>
      <c r="W8" s="40">
        <v>2</v>
      </c>
      <c r="X8" s="40">
        <v>3</v>
      </c>
      <c r="Y8" s="40">
        <v>2</v>
      </c>
      <c r="Z8" s="40">
        <v>2</v>
      </c>
      <c r="AA8" s="40">
        <v>0</v>
      </c>
      <c r="AB8" s="40">
        <v>5</v>
      </c>
      <c r="AC8" s="40">
        <v>0</v>
      </c>
      <c r="AD8" s="40">
        <v>3</v>
      </c>
      <c r="AE8" s="40">
        <v>0</v>
      </c>
      <c r="AF8" s="48">
        <v>2</v>
      </c>
      <c r="AG8" s="661" t="str">
        <f t="shared" si="0"/>
        <v>Henri Mitt</v>
      </c>
      <c r="AH8" s="41">
        <f>RANK(AI8,AI$7:AI$31,0)</f>
        <v>1</v>
      </c>
      <c r="AI8" s="29">
        <f t="shared" ref="AI8:AI31" si="1">AJ8*$O$1+AK8*$O$2+AL8*0.001</f>
        <v>32</v>
      </c>
      <c r="AJ8" s="155">
        <v>15</v>
      </c>
      <c r="AK8" s="155">
        <v>2</v>
      </c>
      <c r="AL8" s="155"/>
    </row>
    <row r="9" spans="1:38" x14ac:dyDescent="0.2">
      <c r="A9" s="694">
        <v>3</v>
      </c>
      <c r="B9" s="38" t="s">
        <v>264</v>
      </c>
      <c r="C9" s="40" t="s">
        <v>137</v>
      </c>
      <c r="D9" s="40" t="s">
        <v>138</v>
      </c>
      <c r="E9" s="662" t="s">
        <v>187</v>
      </c>
      <c r="F9" s="48">
        <v>3</v>
      </c>
      <c r="G9" s="40">
        <v>2</v>
      </c>
      <c r="H9" s="36">
        <v>0</v>
      </c>
      <c r="I9" s="39"/>
      <c r="J9" s="40">
        <v>6</v>
      </c>
      <c r="K9" s="40"/>
      <c r="L9" s="40"/>
      <c r="M9" s="40"/>
      <c r="N9" s="40"/>
      <c r="O9" s="40"/>
      <c r="P9" s="40"/>
      <c r="Q9" s="40"/>
      <c r="R9" s="40"/>
      <c r="S9" s="40"/>
      <c r="T9" s="40"/>
      <c r="U9" s="40"/>
      <c r="V9" s="40"/>
      <c r="W9" s="40"/>
      <c r="X9" s="40"/>
      <c r="Y9" s="40"/>
      <c r="Z9" s="40"/>
      <c r="AA9" s="40"/>
      <c r="AB9" s="40"/>
      <c r="AC9" s="40"/>
      <c r="AD9" s="40"/>
      <c r="AE9" s="40"/>
      <c r="AF9" s="48">
        <v>3</v>
      </c>
      <c r="AG9" s="661" t="str">
        <f t="shared" si="0"/>
        <v>Brigitta Neiland</v>
      </c>
      <c r="AH9" s="41"/>
      <c r="AI9" s="29">
        <f t="shared" si="1"/>
        <v>0</v>
      </c>
      <c r="AJ9" s="155"/>
      <c r="AK9" s="155"/>
      <c r="AL9" s="155"/>
    </row>
    <row r="10" spans="1:38" x14ac:dyDescent="0.2">
      <c r="A10" s="694">
        <v>4</v>
      </c>
      <c r="B10" s="37" t="s">
        <v>265</v>
      </c>
      <c r="C10" s="36"/>
      <c r="D10" s="36" t="s">
        <v>138</v>
      </c>
      <c r="E10" s="662" t="s">
        <v>187</v>
      </c>
      <c r="F10" s="48">
        <v>4</v>
      </c>
      <c r="G10" s="40">
        <v>2</v>
      </c>
      <c r="H10" s="36">
        <v>1</v>
      </c>
      <c r="I10" s="36">
        <v>0</v>
      </c>
      <c r="J10" s="39"/>
      <c r="K10" s="36"/>
      <c r="L10" s="40"/>
      <c r="M10" s="36"/>
      <c r="N10" s="36"/>
      <c r="O10" s="36"/>
      <c r="P10" s="36"/>
      <c r="Q10" s="36"/>
      <c r="R10" s="36"/>
      <c r="S10" s="36"/>
      <c r="T10" s="40"/>
      <c r="U10" s="36"/>
      <c r="V10" s="36"/>
      <c r="W10" s="36"/>
      <c r="X10" s="36"/>
      <c r="Y10" s="36"/>
      <c r="Z10" s="36"/>
      <c r="AA10" s="36"/>
      <c r="AB10" s="36"/>
      <c r="AC10" s="36"/>
      <c r="AD10" s="36"/>
      <c r="AE10" s="36"/>
      <c r="AF10" s="48">
        <v>4</v>
      </c>
      <c r="AG10" s="661" t="str">
        <f t="shared" si="0"/>
        <v>Jan-Martin Neiland</v>
      </c>
      <c r="AH10" s="41"/>
      <c r="AI10" s="29">
        <f t="shared" si="1"/>
        <v>0</v>
      </c>
      <c r="AJ10" s="155"/>
      <c r="AK10" s="155"/>
      <c r="AL10" s="155"/>
    </row>
    <row r="11" spans="1:38" x14ac:dyDescent="0.2">
      <c r="A11" s="694">
        <v>5</v>
      </c>
      <c r="B11" s="38" t="s">
        <v>126</v>
      </c>
      <c r="C11" s="40" t="s">
        <v>137</v>
      </c>
      <c r="D11" s="40"/>
      <c r="E11" s="40"/>
      <c r="F11" s="48">
        <v>5</v>
      </c>
      <c r="G11" s="40">
        <v>1</v>
      </c>
      <c r="H11" s="36">
        <v>2</v>
      </c>
      <c r="I11" s="36"/>
      <c r="J11" s="36"/>
      <c r="K11" s="39"/>
      <c r="L11" s="40">
        <v>0</v>
      </c>
      <c r="M11" s="36">
        <v>0</v>
      </c>
      <c r="N11" s="36">
        <v>0</v>
      </c>
      <c r="O11" s="36">
        <v>3</v>
      </c>
      <c r="P11" s="36">
        <v>2</v>
      </c>
      <c r="Q11" s="36">
        <v>1</v>
      </c>
      <c r="R11" s="36">
        <v>1</v>
      </c>
      <c r="S11" s="36">
        <v>0</v>
      </c>
      <c r="T11" s="40"/>
      <c r="U11" s="36">
        <v>0</v>
      </c>
      <c r="V11" s="36">
        <v>1</v>
      </c>
      <c r="W11" s="36">
        <v>1</v>
      </c>
      <c r="X11" s="36">
        <v>2</v>
      </c>
      <c r="Y11" s="36">
        <v>3</v>
      </c>
      <c r="Z11" s="36">
        <v>3</v>
      </c>
      <c r="AA11" s="36">
        <v>3</v>
      </c>
      <c r="AB11" s="36">
        <v>1</v>
      </c>
      <c r="AC11" s="36">
        <v>2</v>
      </c>
      <c r="AD11" s="36">
        <v>0</v>
      </c>
      <c r="AE11" s="36">
        <v>2</v>
      </c>
      <c r="AF11" s="48">
        <v>5</v>
      </c>
      <c r="AG11" s="661" t="str">
        <f t="shared" si="0"/>
        <v>Oksana Sažina</v>
      </c>
      <c r="AH11" s="41">
        <f>RANK(AI11,AI$7:AI$31,0)</f>
        <v>12</v>
      </c>
      <c r="AI11" s="674">
        <f t="shared" si="1"/>
        <v>18.001999999999999</v>
      </c>
      <c r="AJ11" s="670">
        <v>7</v>
      </c>
      <c r="AK11" s="155">
        <v>4</v>
      </c>
      <c r="AL11" s="673">
        <v>2</v>
      </c>
    </row>
    <row r="12" spans="1:38" x14ac:dyDescent="0.2">
      <c r="A12" s="694">
        <v>6</v>
      </c>
      <c r="B12" s="38" t="s">
        <v>516</v>
      </c>
      <c r="C12" s="40" t="s">
        <v>137</v>
      </c>
      <c r="D12" s="40"/>
      <c r="E12" s="662" t="s">
        <v>187</v>
      </c>
      <c r="F12" s="48">
        <v>6</v>
      </c>
      <c r="G12" s="40"/>
      <c r="H12" s="40"/>
      <c r="I12" s="40"/>
      <c r="J12" s="40"/>
      <c r="K12" s="40">
        <v>3</v>
      </c>
      <c r="L12" s="39"/>
      <c r="M12" s="40">
        <v>0</v>
      </c>
      <c r="N12" s="40">
        <v>6</v>
      </c>
      <c r="O12" s="40"/>
      <c r="P12" s="40"/>
      <c r="Q12" s="40"/>
      <c r="R12" s="40"/>
      <c r="S12" s="40"/>
      <c r="T12" s="40"/>
      <c r="U12" s="40"/>
      <c r="V12" s="40"/>
      <c r="W12" s="40"/>
      <c r="X12" s="40"/>
      <c r="Y12" s="40"/>
      <c r="Z12" s="40"/>
      <c r="AA12" s="40"/>
      <c r="AB12" s="40"/>
      <c r="AC12" s="40"/>
      <c r="AD12" s="40"/>
      <c r="AE12" s="40"/>
      <c r="AF12" s="48">
        <v>6</v>
      </c>
      <c r="AG12" s="661" t="str">
        <f t="shared" si="0"/>
        <v>Vilma Neiland</v>
      </c>
      <c r="AH12" s="41"/>
      <c r="AI12" s="29">
        <f t="shared" si="1"/>
        <v>0</v>
      </c>
      <c r="AJ12" s="670"/>
      <c r="AK12" s="155"/>
      <c r="AL12" s="155"/>
    </row>
    <row r="13" spans="1:38" x14ac:dyDescent="0.2">
      <c r="A13" s="694">
        <v>7</v>
      </c>
      <c r="B13" s="38" t="s">
        <v>108</v>
      </c>
      <c r="C13" s="40" t="s">
        <v>137</v>
      </c>
      <c r="D13" s="40"/>
      <c r="E13" s="40"/>
      <c r="F13" s="48">
        <v>7</v>
      </c>
      <c r="G13" s="40">
        <v>0</v>
      </c>
      <c r="H13" s="36">
        <v>0</v>
      </c>
      <c r="I13" s="36"/>
      <c r="J13" s="36"/>
      <c r="K13" s="36">
        <v>4</v>
      </c>
      <c r="L13" s="40">
        <v>4</v>
      </c>
      <c r="M13" s="39"/>
      <c r="N13" s="36">
        <v>3</v>
      </c>
      <c r="O13" s="36">
        <v>1</v>
      </c>
      <c r="P13" s="36">
        <v>2</v>
      </c>
      <c r="Q13" s="36">
        <v>1</v>
      </c>
      <c r="R13" s="36">
        <v>4</v>
      </c>
      <c r="S13" s="36">
        <v>3</v>
      </c>
      <c r="T13" s="40"/>
      <c r="U13" s="36">
        <v>4</v>
      </c>
      <c r="V13" s="36">
        <v>3</v>
      </c>
      <c r="W13" s="36">
        <v>1</v>
      </c>
      <c r="X13" s="36">
        <v>5</v>
      </c>
      <c r="Y13" s="36">
        <v>1</v>
      </c>
      <c r="Z13" s="36">
        <v>1</v>
      </c>
      <c r="AA13" s="36">
        <v>2</v>
      </c>
      <c r="AB13" s="36">
        <v>2</v>
      </c>
      <c r="AC13" s="36">
        <v>1</v>
      </c>
      <c r="AD13" s="36">
        <v>0</v>
      </c>
      <c r="AE13" s="36">
        <v>0</v>
      </c>
      <c r="AF13" s="48">
        <v>7</v>
      </c>
      <c r="AG13" s="661" t="str">
        <f t="shared" si="0"/>
        <v>Ljudmila Varendi</v>
      </c>
      <c r="AH13" s="41">
        <f t="shared" ref="AH13:AH19" si="2">RANK(AI13,AI$7:AI$31,0)</f>
        <v>11</v>
      </c>
      <c r="AI13" s="666">
        <f t="shared" si="1"/>
        <v>19</v>
      </c>
      <c r="AJ13" s="670">
        <v>8</v>
      </c>
      <c r="AK13" s="670">
        <v>3</v>
      </c>
      <c r="AL13" s="665">
        <v>0</v>
      </c>
    </row>
    <row r="14" spans="1:38" x14ac:dyDescent="0.2">
      <c r="A14" s="694">
        <v>8</v>
      </c>
      <c r="B14" s="38" t="s">
        <v>131</v>
      </c>
      <c r="C14" s="40" t="s">
        <v>137</v>
      </c>
      <c r="D14" s="40"/>
      <c r="E14" s="40"/>
      <c r="F14" s="48">
        <v>8</v>
      </c>
      <c r="G14" s="40">
        <v>0</v>
      </c>
      <c r="H14" s="36">
        <v>0</v>
      </c>
      <c r="I14" s="36"/>
      <c r="J14" s="36"/>
      <c r="K14" s="36">
        <v>3</v>
      </c>
      <c r="L14" s="40">
        <v>0</v>
      </c>
      <c r="M14" s="36">
        <v>0</v>
      </c>
      <c r="N14" s="39"/>
      <c r="O14" s="36">
        <v>2</v>
      </c>
      <c r="P14" s="36">
        <v>2</v>
      </c>
      <c r="Q14" s="36">
        <v>2</v>
      </c>
      <c r="R14" s="36">
        <v>1</v>
      </c>
      <c r="S14" s="36">
        <v>0</v>
      </c>
      <c r="T14" s="40"/>
      <c r="U14" s="36">
        <v>3</v>
      </c>
      <c r="V14" s="36">
        <v>1</v>
      </c>
      <c r="W14" s="36">
        <v>0</v>
      </c>
      <c r="X14" s="36">
        <v>1</v>
      </c>
      <c r="Y14" s="36">
        <v>1</v>
      </c>
      <c r="Z14" s="36">
        <v>2</v>
      </c>
      <c r="AA14" s="36">
        <v>1</v>
      </c>
      <c r="AB14" s="36">
        <v>6</v>
      </c>
      <c r="AC14" s="36">
        <v>0</v>
      </c>
      <c r="AD14" s="36">
        <v>3</v>
      </c>
      <c r="AE14" s="36">
        <v>1</v>
      </c>
      <c r="AF14" s="48">
        <v>8</v>
      </c>
      <c r="AG14" s="661" t="str">
        <f t="shared" si="0"/>
        <v>Heili Vasser</v>
      </c>
      <c r="AH14" s="41">
        <f t="shared" si="2"/>
        <v>14</v>
      </c>
      <c r="AI14" s="29">
        <f t="shared" si="1"/>
        <v>17</v>
      </c>
      <c r="AJ14" s="670">
        <v>7</v>
      </c>
      <c r="AK14" s="155">
        <v>3</v>
      </c>
      <c r="AL14" s="155"/>
    </row>
    <row r="15" spans="1:38" x14ac:dyDescent="0.2">
      <c r="A15" s="694">
        <v>9</v>
      </c>
      <c r="B15" s="38" t="s">
        <v>762</v>
      </c>
      <c r="C15" s="40"/>
      <c r="D15" s="40"/>
      <c r="E15" s="40" t="s">
        <v>187</v>
      </c>
      <c r="F15" s="48">
        <v>9</v>
      </c>
      <c r="G15" s="40">
        <v>3</v>
      </c>
      <c r="H15" s="36">
        <v>0</v>
      </c>
      <c r="I15" s="36"/>
      <c r="J15" s="36"/>
      <c r="K15" s="36">
        <v>0</v>
      </c>
      <c r="L15" s="40"/>
      <c r="M15" s="36">
        <v>1</v>
      </c>
      <c r="N15" s="36">
        <v>3</v>
      </c>
      <c r="O15" s="39"/>
      <c r="P15" s="36">
        <v>3</v>
      </c>
      <c r="Q15" s="36">
        <v>0</v>
      </c>
      <c r="R15" s="36">
        <v>4</v>
      </c>
      <c r="S15" s="36">
        <v>3</v>
      </c>
      <c r="T15" s="40"/>
      <c r="U15" s="36">
        <v>1</v>
      </c>
      <c r="V15" s="36">
        <v>1</v>
      </c>
      <c r="W15" s="36">
        <v>1</v>
      </c>
      <c r="X15" s="36">
        <v>2</v>
      </c>
      <c r="Y15" s="36">
        <v>1</v>
      </c>
      <c r="Z15" s="36">
        <v>3</v>
      </c>
      <c r="AA15" s="36">
        <v>1</v>
      </c>
      <c r="AB15" s="36">
        <v>2</v>
      </c>
      <c r="AC15" s="36">
        <v>3</v>
      </c>
      <c r="AD15" s="36">
        <v>5</v>
      </c>
      <c r="AE15" s="36">
        <v>1</v>
      </c>
      <c r="AF15" s="48">
        <v>9</v>
      </c>
      <c r="AG15" s="661" t="str">
        <f t="shared" si="0"/>
        <v>Peep Peenema</v>
      </c>
      <c r="AH15" s="41">
        <f t="shared" si="2"/>
        <v>8</v>
      </c>
      <c r="AI15" s="29">
        <f t="shared" si="1"/>
        <v>23</v>
      </c>
      <c r="AJ15" s="670">
        <v>10</v>
      </c>
      <c r="AK15" s="155">
        <v>3</v>
      </c>
      <c r="AL15" s="155"/>
    </row>
    <row r="16" spans="1:38" x14ac:dyDescent="0.2">
      <c r="A16" s="694">
        <v>10</v>
      </c>
      <c r="B16" s="38" t="s">
        <v>119</v>
      </c>
      <c r="C16" s="40"/>
      <c r="D16" s="40"/>
      <c r="E16" s="40" t="s">
        <v>187</v>
      </c>
      <c r="F16" s="48">
        <v>10</v>
      </c>
      <c r="G16" s="40">
        <v>0</v>
      </c>
      <c r="H16" s="36">
        <v>1</v>
      </c>
      <c r="I16" s="36"/>
      <c r="J16" s="36"/>
      <c r="K16" s="36">
        <v>2</v>
      </c>
      <c r="L16" s="40"/>
      <c r="M16" s="36">
        <v>0</v>
      </c>
      <c r="N16" s="36">
        <v>0</v>
      </c>
      <c r="O16" s="36">
        <v>0</v>
      </c>
      <c r="P16" s="39"/>
      <c r="Q16" s="36">
        <v>0</v>
      </c>
      <c r="R16" s="36">
        <v>2</v>
      </c>
      <c r="S16" s="36">
        <v>4</v>
      </c>
      <c r="T16" s="40"/>
      <c r="U16" s="36">
        <v>1</v>
      </c>
      <c r="V16" s="36">
        <v>2</v>
      </c>
      <c r="W16" s="36">
        <v>0</v>
      </c>
      <c r="X16" s="36">
        <v>0</v>
      </c>
      <c r="Y16" s="36">
        <v>0</v>
      </c>
      <c r="Z16" s="36">
        <v>2</v>
      </c>
      <c r="AA16" s="36">
        <v>2</v>
      </c>
      <c r="AB16" s="36">
        <v>2</v>
      </c>
      <c r="AC16" s="36">
        <v>0</v>
      </c>
      <c r="AD16" s="36">
        <v>5</v>
      </c>
      <c r="AE16" s="36">
        <v>0</v>
      </c>
      <c r="AF16" s="48">
        <v>10</v>
      </c>
      <c r="AG16" s="661" t="str">
        <f t="shared" si="0"/>
        <v>Meelis Luud</v>
      </c>
      <c r="AH16" s="41">
        <f t="shared" si="2"/>
        <v>15</v>
      </c>
      <c r="AI16" s="677">
        <f t="shared" si="1"/>
        <v>16.004000000000001</v>
      </c>
      <c r="AJ16" s="670">
        <v>7</v>
      </c>
      <c r="AK16" s="155">
        <v>2</v>
      </c>
      <c r="AL16" s="678">
        <v>4</v>
      </c>
    </row>
    <row r="17" spans="1:38" x14ac:dyDescent="0.2">
      <c r="A17" s="694">
        <v>11</v>
      </c>
      <c r="B17" s="37" t="s">
        <v>117</v>
      </c>
      <c r="C17" s="36"/>
      <c r="D17" s="36"/>
      <c r="E17" s="36" t="s">
        <v>187</v>
      </c>
      <c r="F17" s="48">
        <v>11</v>
      </c>
      <c r="G17" s="40">
        <v>1</v>
      </c>
      <c r="H17" s="36">
        <v>1</v>
      </c>
      <c r="I17" s="36"/>
      <c r="J17" s="36"/>
      <c r="K17" s="36">
        <v>2</v>
      </c>
      <c r="L17" s="40"/>
      <c r="M17" s="36">
        <v>2</v>
      </c>
      <c r="N17" s="36">
        <v>1</v>
      </c>
      <c r="O17" s="36">
        <v>3</v>
      </c>
      <c r="P17" s="36">
        <v>5</v>
      </c>
      <c r="Q17" s="39"/>
      <c r="R17" s="36">
        <v>2</v>
      </c>
      <c r="S17" s="36">
        <v>1</v>
      </c>
      <c r="T17" s="40"/>
      <c r="U17" s="36">
        <v>1</v>
      </c>
      <c r="V17" s="36">
        <v>0</v>
      </c>
      <c r="W17" s="36">
        <v>0</v>
      </c>
      <c r="X17" s="36">
        <v>2</v>
      </c>
      <c r="Y17" s="36">
        <v>0</v>
      </c>
      <c r="Z17" s="36">
        <v>0</v>
      </c>
      <c r="AA17" s="36">
        <v>0</v>
      </c>
      <c r="AB17" s="36">
        <v>0</v>
      </c>
      <c r="AC17" s="36">
        <v>0</v>
      </c>
      <c r="AD17" s="36">
        <v>1</v>
      </c>
      <c r="AE17" s="36">
        <v>1</v>
      </c>
      <c r="AF17" s="48">
        <v>11</v>
      </c>
      <c r="AG17" s="661" t="str">
        <f t="shared" si="0"/>
        <v>Enn Tokman</v>
      </c>
      <c r="AH17" s="41">
        <f t="shared" si="2"/>
        <v>20</v>
      </c>
      <c r="AI17" s="676">
        <f t="shared" si="1"/>
        <v>12.002000000000001</v>
      </c>
      <c r="AJ17" s="670">
        <v>6</v>
      </c>
      <c r="AK17" s="155">
        <v>0</v>
      </c>
      <c r="AL17" s="675">
        <v>2</v>
      </c>
    </row>
    <row r="18" spans="1:38" x14ac:dyDescent="0.2">
      <c r="A18" s="694">
        <v>12</v>
      </c>
      <c r="B18" s="38" t="s">
        <v>262</v>
      </c>
      <c r="C18" s="40"/>
      <c r="D18" s="40"/>
      <c r="E18" s="40" t="s">
        <v>187</v>
      </c>
      <c r="F18" s="48">
        <v>12</v>
      </c>
      <c r="G18" s="40">
        <v>0</v>
      </c>
      <c r="H18" s="36">
        <v>0</v>
      </c>
      <c r="I18" s="36"/>
      <c r="J18" s="36"/>
      <c r="K18" s="36">
        <v>1</v>
      </c>
      <c r="L18" s="40"/>
      <c r="M18" s="36">
        <v>0</v>
      </c>
      <c r="N18" s="36">
        <v>1</v>
      </c>
      <c r="O18" s="36">
        <v>0</v>
      </c>
      <c r="P18" s="36">
        <v>0</v>
      </c>
      <c r="Q18" s="36">
        <v>1</v>
      </c>
      <c r="R18" s="39"/>
      <c r="S18" s="36">
        <v>1</v>
      </c>
      <c r="T18" s="40"/>
      <c r="U18" s="36">
        <v>4</v>
      </c>
      <c r="V18" s="36">
        <v>0</v>
      </c>
      <c r="W18" s="36">
        <v>0</v>
      </c>
      <c r="X18" s="36">
        <v>2</v>
      </c>
      <c r="Y18" s="36">
        <v>0</v>
      </c>
      <c r="Z18" s="36">
        <v>2</v>
      </c>
      <c r="AA18" s="36">
        <v>1</v>
      </c>
      <c r="AB18" s="36">
        <v>1</v>
      </c>
      <c r="AC18" s="36">
        <v>0</v>
      </c>
      <c r="AD18" s="36">
        <v>3</v>
      </c>
      <c r="AE18" s="36">
        <v>1</v>
      </c>
      <c r="AF18" s="48">
        <v>12</v>
      </c>
      <c r="AG18" s="661" t="str">
        <f t="shared" si="0"/>
        <v>Toomas Tedrekull</v>
      </c>
      <c r="AH18" s="41">
        <f t="shared" si="2"/>
        <v>21</v>
      </c>
      <c r="AI18" s="676">
        <f t="shared" si="1"/>
        <v>12</v>
      </c>
      <c r="AJ18" s="670">
        <v>4</v>
      </c>
      <c r="AK18" s="155">
        <v>4</v>
      </c>
      <c r="AL18" s="675">
        <v>0</v>
      </c>
    </row>
    <row r="19" spans="1:38" x14ac:dyDescent="0.2">
      <c r="A19" s="694">
        <v>13</v>
      </c>
      <c r="B19" s="38" t="s">
        <v>209</v>
      </c>
      <c r="C19" s="40"/>
      <c r="D19" s="40"/>
      <c r="E19" s="40" t="s">
        <v>187</v>
      </c>
      <c r="F19" s="48">
        <v>13</v>
      </c>
      <c r="G19" s="40">
        <v>5</v>
      </c>
      <c r="H19" s="36">
        <v>0</v>
      </c>
      <c r="I19" s="36"/>
      <c r="J19" s="36"/>
      <c r="K19" s="36">
        <v>4</v>
      </c>
      <c r="L19" s="40"/>
      <c r="M19" s="36">
        <v>0</v>
      </c>
      <c r="N19" s="36">
        <v>3</v>
      </c>
      <c r="O19" s="36">
        <v>0</v>
      </c>
      <c r="P19" s="36">
        <v>0</v>
      </c>
      <c r="Q19" s="36">
        <v>3</v>
      </c>
      <c r="R19" s="36">
        <v>1</v>
      </c>
      <c r="S19" s="39"/>
      <c r="T19" s="40"/>
      <c r="U19" s="36">
        <v>1</v>
      </c>
      <c r="V19" s="36">
        <v>0</v>
      </c>
      <c r="W19" s="36">
        <v>0</v>
      </c>
      <c r="X19" s="36">
        <v>1</v>
      </c>
      <c r="Y19" s="36">
        <v>2</v>
      </c>
      <c r="Z19" s="36">
        <v>0</v>
      </c>
      <c r="AA19" s="36">
        <v>0</v>
      </c>
      <c r="AB19" s="36">
        <v>2</v>
      </c>
      <c r="AC19" s="36">
        <v>0</v>
      </c>
      <c r="AD19" s="36">
        <v>0</v>
      </c>
      <c r="AE19" s="36">
        <v>0</v>
      </c>
      <c r="AF19" s="48">
        <v>13</v>
      </c>
      <c r="AG19" s="661" t="str">
        <f t="shared" si="0"/>
        <v>Kenneth Muusikus</v>
      </c>
      <c r="AH19" s="41">
        <f t="shared" si="2"/>
        <v>18</v>
      </c>
      <c r="AI19" s="698">
        <f t="shared" si="1"/>
        <v>13.000999999999999</v>
      </c>
      <c r="AJ19" s="670">
        <v>5</v>
      </c>
      <c r="AK19" s="670">
        <v>3</v>
      </c>
      <c r="AL19" s="697">
        <v>1</v>
      </c>
    </row>
    <row r="20" spans="1:38" hidden="1" x14ac:dyDescent="0.2">
      <c r="A20" s="694">
        <v>14</v>
      </c>
      <c r="B20" s="695" t="s">
        <v>124</v>
      </c>
      <c r="C20" s="40"/>
      <c r="D20" s="40"/>
      <c r="E20" s="40" t="s">
        <v>187</v>
      </c>
      <c r="F20" s="48">
        <v>14</v>
      </c>
      <c r="G20" s="40"/>
      <c r="H20" s="40"/>
      <c r="I20" s="40"/>
      <c r="J20" s="40"/>
      <c r="K20" s="40"/>
      <c r="L20" s="40"/>
      <c r="M20" s="40"/>
      <c r="N20" s="40"/>
      <c r="O20" s="40"/>
      <c r="P20" s="40"/>
      <c r="Q20" s="40"/>
      <c r="R20" s="40"/>
      <c r="S20" s="40"/>
      <c r="T20" s="39"/>
      <c r="U20" s="40"/>
      <c r="V20" s="40"/>
      <c r="W20" s="40"/>
      <c r="X20" s="40"/>
      <c r="Y20" s="40"/>
      <c r="Z20" s="40"/>
      <c r="AA20" s="40"/>
      <c r="AB20" s="40"/>
      <c r="AC20" s="40"/>
      <c r="AD20" s="40"/>
      <c r="AE20" s="40"/>
      <c r="AF20" s="48">
        <v>14</v>
      </c>
      <c r="AG20" s="696" t="str">
        <f t="shared" si="0"/>
        <v>Illar Tõnurist</v>
      </c>
      <c r="AH20" s="41"/>
      <c r="AI20" s="29">
        <f t="shared" si="1"/>
        <v>0</v>
      </c>
      <c r="AJ20" s="670"/>
      <c r="AK20" s="155"/>
      <c r="AL20" s="155"/>
    </row>
    <row r="21" spans="1:38" x14ac:dyDescent="0.2">
      <c r="A21" s="694">
        <v>15</v>
      </c>
      <c r="B21" s="38" t="s">
        <v>208</v>
      </c>
      <c r="C21" s="40"/>
      <c r="D21" s="40"/>
      <c r="E21" s="40" t="s">
        <v>187</v>
      </c>
      <c r="F21" s="48">
        <v>15</v>
      </c>
      <c r="G21" s="40">
        <v>3</v>
      </c>
      <c r="H21" s="36">
        <v>1</v>
      </c>
      <c r="I21" s="36"/>
      <c r="J21" s="36"/>
      <c r="K21" s="36">
        <v>2</v>
      </c>
      <c r="L21" s="40"/>
      <c r="M21" s="36">
        <v>0</v>
      </c>
      <c r="N21" s="36">
        <v>0</v>
      </c>
      <c r="O21" s="36">
        <v>3</v>
      </c>
      <c r="P21" s="36">
        <v>1</v>
      </c>
      <c r="Q21" s="36">
        <v>3</v>
      </c>
      <c r="R21" s="36">
        <v>0</v>
      </c>
      <c r="S21" s="36">
        <v>1</v>
      </c>
      <c r="T21" s="40"/>
      <c r="U21" s="39"/>
      <c r="V21" s="36">
        <v>2</v>
      </c>
      <c r="W21" s="36">
        <v>0</v>
      </c>
      <c r="X21" s="36">
        <v>1</v>
      </c>
      <c r="Y21" s="36">
        <v>2</v>
      </c>
      <c r="Z21" s="36">
        <v>1</v>
      </c>
      <c r="AA21" s="36">
        <v>0</v>
      </c>
      <c r="AB21" s="36">
        <v>3</v>
      </c>
      <c r="AC21" s="36">
        <v>2</v>
      </c>
      <c r="AD21" s="36">
        <v>1</v>
      </c>
      <c r="AE21" s="36">
        <v>0</v>
      </c>
      <c r="AF21" s="48">
        <v>15</v>
      </c>
      <c r="AG21" s="661" t="str">
        <f t="shared" si="0"/>
        <v>Jaan Saar</v>
      </c>
      <c r="AH21" s="41">
        <f t="shared" ref="AH21:AH31" si="3">RANK(AI21,AI$7:AI$31,0)</f>
        <v>9</v>
      </c>
      <c r="AI21" s="29">
        <f t="shared" si="1"/>
        <v>21</v>
      </c>
      <c r="AJ21" s="670">
        <v>8</v>
      </c>
      <c r="AK21" s="155">
        <v>5</v>
      </c>
      <c r="AL21" s="155"/>
    </row>
    <row r="22" spans="1:38" x14ac:dyDescent="0.2">
      <c r="A22" s="694">
        <v>16</v>
      </c>
      <c r="B22" s="38" t="s">
        <v>122</v>
      </c>
      <c r="C22" s="40"/>
      <c r="D22" s="40"/>
      <c r="E22" s="40" t="s">
        <v>187</v>
      </c>
      <c r="F22" s="48">
        <v>16</v>
      </c>
      <c r="G22" s="40">
        <v>2</v>
      </c>
      <c r="H22" s="36">
        <v>0</v>
      </c>
      <c r="I22" s="36"/>
      <c r="J22" s="36"/>
      <c r="K22" s="36">
        <v>3</v>
      </c>
      <c r="L22" s="40"/>
      <c r="M22" s="36">
        <v>0</v>
      </c>
      <c r="N22" s="36">
        <v>3</v>
      </c>
      <c r="O22" s="36">
        <v>1</v>
      </c>
      <c r="P22" s="36">
        <v>1</v>
      </c>
      <c r="Q22" s="36">
        <v>4</v>
      </c>
      <c r="R22" s="36">
        <v>2</v>
      </c>
      <c r="S22" s="36">
        <v>3</v>
      </c>
      <c r="T22" s="40"/>
      <c r="U22" s="36">
        <v>1</v>
      </c>
      <c r="V22" s="39"/>
      <c r="W22" s="36">
        <v>0</v>
      </c>
      <c r="X22" s="36">
        <v>1</v>
      </c>
      <c r="Y22" s="36">
        <v>1</v>
      </c>
      <c r="Z22" s="36">
        <v>1</v>
      </c>
      <c r="AA22" s="36">
        <v>0</v>
      </c>
      <c r="AB22" s="36">
        <v>0</v>
      </c>
      <c r="AC22" s="36">
        <v>3</v>
      </c>
      <c r="AD22" s="36">
        <v>0</v>
      </c>
      <c r="AE22" s="36">
        <v>1</v>
      </c>
      <c r="AF22" s="48">
        <v>16</v>
      </c>
      <c r="AG22" s="661" t="str">
        <f t="shared" si="0"/>
        <v>Tarmo Bombe</v>
      </c>
      <c r="AH22" s="41">
        <f t="shared" si="3"/>
        <v>17</v>
      </c>
      <c r="AI22" s="677">
        <f t="shared" si="1"/>
        <v>16</v>
      </c>
      <c r="AJ22" s="670">
        <v>6</v>
      </c>
      <c r="AK22" s="155">
        <v>4</v>
      </c>
      <c r="AL22" s="678">
        <v>0</v>
      </c>
    </row>
    <row r="23" spans="1:38" x14ac:dyDescent="0.2">
      <c r="A23" s="694">
        <v>17</v>
      </c>
      <c r="B23" s="38" t="s">
        <v>90</v>
      </c>
      <c r="C23" s="40"/>
      <c r="D23" s="40"/>
      <c r="E23" s="40"/>
      <c r="F23" s="48">
        <v>17</v>
      </c>
      <c r="G23" s="40">
        <v>1</v>
      </c>
      <c r="H23" s="36">
        <v>0</v>
      </c>
      <c r="I23" s="36"/>
      <c r="J23" s="36"/>
      <c r="K23" s="36">
        <v>1</v>
      </c>
      <c r="L23" s="40"/>
      <c r="M23" s="36">
        <v>1</v>
      </c>
      <c r="N23" s="36">
        <v>3</v>
      </c>
      <c r="O23" s="36">
        <v>1</v>
      </c>
      <c r="P23" s="36">
        <v>3</v>
      </c>
      <c r="Q23" s="36">
        <v>3</v>
      </c>
      <c r="R23" s="36">
        <v>4</v>
      </c>
      <c r="S23" s="36">
        <v>2</v>
      </c>
      <c r="T23" s="40"/>
      <c r="U23" s="36">
        <v>2</v>
      </c>
      <c r="V23" s="36">
        <v>2</v>
      </c>
      <c r="W23" s="39"/>
      <c r="X23" s="36">
        <v>2</v>
      </c>
      <c r="Y23" s="36">
        <v>3</v>
      </c>
      <c r="Z23" s="36">
        <v>3</v>
      </c>
      <c r="AA23" s="36">
        <v>0</v>
      </c>
      <c r="AB23" s="36">
        <v>2</v>
      </c>
      <c r="AC23" s="36">
        <v>0</v>
      </c>
      <c r="AD23" s="36">
        <v>1</v>
      </c>
      <c r="AE23" s="36">
        <v>5</v>
      </c>
      <c r="AF23" s="48">
        <v>17</v>
      </c>
      <c r="AG23" s="661" t="str">
        <f t="shared" si="0"/>
        <v>Janek Tarto</v>
      </c>
      <c r="AH23" s="41">
        <f t="shared" si="3"/>
        <v>4</v>
      </c>
      <c r="AI23" s="667">
        <f t="shared" si="1"/>
        <v>28</v>
      </c>
      <c r="AJ23" s="670">
        <v>11</v>
      </c>
      <c r="AK23" s="155">
        <v>6</v>
      </c>
      <c r="AL23" s="669">
        <v>0</v>
      </c>
    </row>
    <row r="24" spans="1:38" x14ac:dyDescent="0.2">
      <c r="A24" s="694">
        <v>18</v>
      </c>
      <c r="B24" s="38" t="s">
        <v>109</v>
      </c>
      <c r="C24" s="40"/>
      <c r="D24" s="40"/>
      <c r="E24" s="40"/>
      <c r="F24" s="48">
        <v>18</v>
      </c>
      <c r="G24" s="40">
        <v>0</v>
      </c>
      <c r="H24" s="36">
        <v>0</v>
      </c>
      <c r="I24" s="36"/>
      <c r="J24" s="36"/>
      <c r="K24" s="36">
        <v>0</v>
      </c>
      <c r="L24" s="40"/>
      <c r="M24" s="36">
        <v>0</v>
      </c>
      <c r="N24" s="36">
        <v>1</v>
      </c>
      <c r="O24" s="36">
        <v>1</v>
      </c>
      <c r="P24" s="36">
        <v>3</v>
      </c>
      <c r="Q24" s="36">
        <v>1</v>
      </c>
      <c r="R24" s="36">
        <v>0</v>
      </c>
      <c r="S24" s="36">
        <v>3</v>
      </c>
      <c r="T24" s="40"/>
      <c r="U24" s="36">
        <v>2</v>
      </c>
      <c r="V24" s="36">
        <v>1</v>
      </c>
      <c r="W24" s="36">
        <v>1</v>
      </c>
      <c r="X24" s="39"/>
      <c r="Y24" s="40">
        <v>3</v>
      </c>
      <c r="Z24" s="40">
        <v>1</v>
      </c>
      <c r="AA24" s="40">
        <v>3</v>
      </c>
      <c r="AB24" s="40">
        <v>2</v>
      </c>
      <c r="AC24" s="40">
        <v>3</v>
      </c>
      <c r="AD24" s="40">
        <v>1</v>
      </c>
      <c r="AE24" s="40">
        <v>2</v>
      </c>
      <c r="AF24" s="48">
        <v>18</v>
      </c>
      <c r="AG24" s="661" t="str">
        <f t="shared" si="0"/>
        <v>Oleg Rõndenkov</v>
      </c>
      <c r="AH24" s="41">
        <f t="shared" si="3"/>
        <v>13</v>
      </c>
      <c r="AI24" s="674">
        <f t="shared" si="1"/>
        <v>18</v>
      </c>
      <c r="AJ24" s="670">
        <v>6</v>
      </c>
      <c r="AK24" s="155">
        <v>6</v>
      </c>
      <c r="AL24" s="673">
        <v>0</v>
      </c>
    </row>
    <row r="25" spans="1:38" x14ac:dyDescent="0.2">
      <c r="A25" s="694">
        <v>19</v>
      </c>
      <c r="B25" s="38" t="s">
        <v>93</v>
      </c>
      <c r="C25" s="40"/>
      <c r="D25" s="40"/>
      <c r="E25" s="40"/>
      <c r="F25" s="48">
        <v>19</v>
      </c>
      <c r="G25" s="40">
        <v>2</v>
      </c>
      <c r="H25" s="36">
        <v>0</v>
      </c>
      <c r="I25" s="36"/>
      <c r="J25" s="36"/>
      <c r="K25" s="36">
        <v>0</v>
      </c>
      <c r="L25" s="40"/>
      <c r="M25" s="36">
        <v>3</v>
      </c>
      <c r="N25" s="36">
        <v>1</v>
      </c>
      <c r="O25" s="36">
        <v>2</v>
      </c>
      <c r="P25" s="36">
        <v>2</v>
      </c>
      <c r="Q25" s="36">
        <v>4</v>
      </c>
      <c r="R25" s="36">
        <v>4</v>
      </c>
      <c r="S25" s="36">
        <v>1</v>
      </c>
      <c r="T25" s="40"/>
      <c r="U25" s="36">
        <v>1</v>
      </c>
      <c r="V25" s="36">
        <v>1</v>
      </c>
      <c r="W25" s="36">
        <v>1</v>
      </c>
      <c r="X25" s="40">
        <v>0</v>
      </c>
      <c r="Y25" s="39"/>
      <c r="Z25" s="40">
        <v>0</v>
      </c>
      <c r="AA25" s="40">
        <v>4</v>
      </c>
      <c r="AB25" s="40">
        <v>1</v>
      </c>
      <c r="AC25" s="40">
        <v>2</v>
      </c>
      <c r="AD25" s="40">
        <v>2</v>
      </c>
      <c r="AE25" s="40">
        <v>0</v>
      </c>
      <c r="AF25" s="48">
        <v>19</v>
      </c>
      <c r="AG25" s="661" t="str">
        <f t="shared" si="0"/>
        <v>Jaan Sepp</v>
      </c>
      <c r="AH25" s="41">
        <f t="shared" si="3"/>
        <v>10</v>
      </c>
      <c r="AI25" s="666">
        <f t="shared" si="1"/>
        <v>19.001999999999999</v>
      </c>
      <c r="AJ25" s="670">
        <v>8</v>
      </c>
      <c r="AK25" s="670">
        <v>3</v>
      </c>
      <c r="AL25" s="665">
        <v>2</v>
      </c>
    </row>
    <row r="26" spans="1:38" x14ac:dyDescent="0.2">
      <c r="A26" s="694">
        <v>20</v>
      </c>
      <c r="B26" s="37" t="s">
        <v>112</v>
      </c>
      <c r="C26" s="36"/>
      <c r="D26" s="36"/>
      <c r="E26" s="36"/>
      <c r="F26" s="48">
        <v>20</v>
      </c>
      <c r="G26" s="40">
        <v>2</v>
      </c>
      <c r="H26" s="36">
        <v>0</v>
      </c>
      <c r="I26" s="36"/>
      <c r="J26" s="36"/>
      <c r="K26" s="36">
        <v>2</v>
      </c>
      <c r="L26" s="40"/>
      <c r="M26" s="36">
        <v>3</v>
      </c>
      <c r="N26" s="36">
        <v>1</v>
      </c>
      <c r="O26" s="36">
        <v>1</v>
      </c>
      <c r="P26" s="36">
        <v>0</v>
      </c>
      <c r="Q26" s="36">
        <v>5</v>
      </c>
      <c r="R26" s="36">
        <v>1</v>
      </c>
      <c r="S26" s="36">
        <v>3</v>
      </c>
      <c r="T26" s="40"/>
      <c r="U26" s="36">
        <v>1</v>
      </c>
      <c r="V26" s="36">
        <v>2</v>
      </c>
      <c r="W26" s="36">
        <v>3</v>
      </c>
      <c r="X26" s="40">
        <v>1</v>
      </c>
      <c r="Y26" s="40">
        <v>5</v>
      </c>
      <c r="Z26" s="39"/>
      <c r="AA26" s="40">
        <v>1</v>
      </c>
      <c r="AB26" s="40">
        <v>2</v>
      </c>
      <c r="AC26" s="40">
        <v>0</v>
      </c>
      <c r="AD26" s="40">
        <v>1</v>
      </c>
      <c r="AE26" s="40">
        <v>1</v>
      </c>
      <c r="AF26" s="48">
        <v>20</v>
      </c>
      <c r="AG26" s="661" t="str">
        <f t="shared" si="0"/>
        <v>Viktor Švarõgin</v>
      </c>
      <c r="AH26" s="41">
        <f t="shared" si="3"/>
        <v>16</v>
      </c>
      <c r="AI26" s="677">
        <f t="shared" si="1"/>
        <v>16.001999999999999</v>
      </c>
      <c r="AJ26" s="670">
        <v>5</v>
      </c>
      <c r="AK26" s="155">
        <v>6</v>
      </c>
      <c r="AL26" s="678">
        <v>2</v>
      </c>
    </row>
    <row r="27" spans="1:38" x14ac:dyDescent="0.2">
      <c r="A27" s="694">
        <v>21</v>
      </c>
      <c r="B27" s="38" t="s">
        <v>105</v>
      </c>
      <c r="C27" s="40"/>
      <c r="D27" s="40"/>
      <c r="E27" s="40"/>
      <c r="F27" s="48">
        <v>21</v>
      </c>
      <c r="G27" s="40">
        <v>0</v>
      </c>
      <c r="H27" s="36">
        <v>2</v>
      </c>
      <c r="I27" s="36"/>
      <c r="J27" s="36"/>
      <c r="K27" s="36">
        <v>0</v>
      </c>
      <c r="L27" s="40"/>
      <c r="M27" s="36">
        <v>2</v>
      </c>
      <c r="N27" s="36">
        <v>2</v>
      </c>
      <c r="O27" s="36">
        <v>2</v>
      </c>
      <c r="P27" s="36">
        <v>1</v>
      </c>
      <c r="Q27" s="36">
        <v>3</v>
      </c>
      <c r="R27" s="36">
        <v>3</v>
      </c>
      <c r="S27" s="36">
        <v>2</v>
      </c>
      <c r="T27" s="40"/>
      <c r="U27" s="36">
        <v>2</v>
      </c>
      <c r="V27" s="36">
        <v>2</v>
      </c>
      <c r="W27" s="36">
        <v>4</v>
      </c>
      <c r="X27" s="40">
        <v>3</v>
      </c>
      <c r="Y27" s="40">
        <v>0</v>
      </c>
      <c r="Z27" s="40">
        <v>2</v>
      </c>
      <c r="AA27" s="39"/>
      <c r="AB27" s="40">
        <v>3</v>
      </c>
      <c r="AC27" s="40">
        <v>2</v>
      </c>
      <c r="AD27" s="40">
        <v>2</v>
      </c>
      <c r="AE27" s="40">
        <v>5</v>
      </c>
      <c r="AF27" s="48">
        <v>21</v>
      </c>
      <c r="AG27" s="661" t="str">
        <f t="shared" si="0"/>
        <v>Ülo Piik</v>
      </c>
      <c r="AH27" s="41">
        <f t="shared" si="3"/>
        <v>3</v>
      </c>
      <c r="AI27" s="667">
        <f t="shared" si="1"/>
        <v>28.001999999999999</v>
      </c>
      <c r="AJ27" s="670">
        <v>12</v>
      </c>
      <c r="AK27" s="155">
        <v>4</v>
      </c>
      <c r="AL27" s="669">
        <v>2</v>
      </c>
    </row>
    <row r="28" spans="1:38" x14ac:dyDescent="0.2">
      <c r="A28" s="694">
        <v>22</v>
      </c>
      <c r="B28" s="38" t="s">
        <v>96</v>
      </c>
      <c r="C28" s="40"/>
      <c r="D28" s="40"/>
      <c r="E28" s="40"/>
      <c r="F28" s="48">
        <v>22</v>
      </c>
      <c r="G28" s="40">
        <v>1</v>
      </c>
      <c r="H28" s="36">
        <v>0</v>
      </c>
      <c r="I28" s="36"/>
      <c r="J28" s="36"/>
      <c r="K28" s="36">
        <v>2</v>
      </c>
      <c r="L28" s="40"/>
      <c r="M28" s="36">
        <v>3</v>
      </c>
      <c r="N28" s="36">
        <v>0</v>
      </c>
      <c r="O28" s="36">
        <v>1</v>
      </c>
      <c r="P28" s="36">
        <v>0</v>
      </c>
      <c r="Q28" s="36">
        <v>4</v>
      </c>
      <c r="R28" s="36">
        <v>1</v>
      </c>
      <c r="S28" s="36">
        <v>2</v>
      </c>
      <c r="T28" s="40"/>
      <c r="U28" s="36">
        <v>1</v>
      </c>
      <c r="V28" s="36">
        <v>2</v>
      </c>
      <c r="W28" s="40">
        <v>0</v>
      </c>
      <c r="X28" s="40">
        <v>0</v>
      </c>
      <c r="Y28" s="40">
        <v>2</v>
      </c>
      <c r="Z28" s="40">
        <v>2</v>
      </c>
      <c r="AA28" s="40">
        <v>0</v>
      </c>
      <c r="AB28" s="39"/>
      <c r="AC28" s="40">
        <v>1</v>
      </c>
      <c r="AD28" s="40">
        <v>1</v>
      </c>
      <c r="AE28" s="40">
        <v>0</v>
      </c>
      <c r="AF28" s="48">
        <v>22</v>
      </c>
      <c r="AG28" s="661" t="str">
        <f t="shared" si="0"/>
        <v>Tõnu Piik</v>
      </c>
      <c r="AH28" s="41">
        <f t="shared" si="3"/>
        <v>18</v>
      </c>
      <c r="AI28" s="698">
        <f t="shared" si="1"/>
        <v>13.000999999999999</v>
      </c>
      <c r="AJ28" s="670">
        <v>5</v>
      </c>
      <c r="AK28" s="670">
        <v>3</v>
      </c>
      <c r="AL28" s="697">
        <v>1</v>
      </c>
    </row>
    <row r="29" spans="1:38" x14ac:dyDescent="0.2">
      <c r="A29" s="694">
        <v>23</v>
      </c>
      <c r="B29" s="38" t="s">
        <v>100</v>
      </c>
      <c r="C29" s="40"/>
      <c r="D29" s="40"/>
      <c r="E29" s="40"/>
      <c r="F29" s="48">
        <v>23</v>
      </c>
      <c r="G29" s="40">
        <v>1</v>
      </c>
      <c r="H29" s="36">
        <v>4</v>
      </c>
      <c r="I29" s="36"/>
      <c r="J29" s="36"/>
      <c r="K29" s="36">
        <v>1</v>
      </c>
      <c r="L29" s="40"/>
      <c r="M29" s="36">
        <v>2</v>
      </c>
      <c r="N29" s="36">
        <v>4</v>
      </c>
      <c r="O29" s="36">
        <v>1</v>
      </c>
      <c r="P29" s="36">
        <v>2</v>
      </c>
      <c r="Q29" s="36">
        <v>2</v>
      </c>
      <c r="R29" s="36">
        <v>2</v>
      </c>
      <c r="S29" s="36">
        <v>3</v>
      </c>
      <c r="T29" s="40"/>
      <c r="U29" s="36">
        <v>1</v>
      </c>
      <c r="V29" s="36">
        <v>0</v>
      </c>
      <c r="W29" s="40">
        <v>4</v>
      </c>
      <c r="X29" s="40">
        <v>0</v>
      </c>
      <c r="Y29" s="40">
        <v>0</v>
      </c>
      <c r="Z29" s="40">
        <v>2</v>
      </c>
      <c r="AA29" s="40">
        <v>2</v>
      </c>
      <c r="AB29" s="40">
        <v>2</v>
      </c>
      <c r="AC29" s="39"/>
      <c r="AD29" s="40">
        <v>0</v>
      </c>
      <c r="AE29" s="40">
        <v>3</v>
      </c>
      <c r="AF29" s="48">
        <v>23</v>
      </c>
      <c r="AG29" s="661" t="str">
        <f t="shared" si="0"/>
        <v>Vello Vasser</v>
      </c>
      <c r="AH29" s="41">
        <f t="shared" si="3"/>
        <v>7</v>
      </c>
      <c r="AI29" s="672">
        <f t="shared" si="1"/>
        <v>24</v>
      </c>
      <c r="AJ29" s="670">
        <v>11</v>
      </c>
      <c r="AK29" s="155">
        <v>2</v>
      </c>
      <c r="AL29" s="671">
        <v>0</v>
      </c>
    </row>
    <row r="30" spans="1:38" x14ac:dyDescent="0.2">
      <c r="A30" s="694">
        <v>24</v>
      </c>
      <c r="B30" s="37" t="s">
        <v>94</v>
      </c>
      <c r="C30" s="36"/>
      <c r="D30" s="36"/>
      <c r="E30" s="36"/>
      <c r="F30" s="48">
        <v>24</v>
      </c>
      <c r="G30" s="40">
        <v>1</v>
      </c>
      <c r="H30" s="36">
        <v>1</v>
      </c>
      <c r="I30" s="36"/>
      <c r="J30" s="36"/>
      <c r="K30" s="36">
        <v>4</v>
      </c>
      <c r="L30" s="40"/>
      <c r="M30" s="36">
        <v>5</v>
      </c>
      <c r="N30" s="36">
        <v>0</v>
      </c>
      <c r="O30" s="36">
        <v>0</v>
      </c>
      <c r="P30" s="36">
        <v>0</v>
      </c>
      <c r="Q30" s="36">
        <v>3</v>
      </c>
      <c r="R30" s="36">
        <v>0</v>
      </c>
      <c r="S30" s="36">
        <v>5</v>
      </c>
      <c r="T30" s="40"/>
      <c r="U30" s="36">
        <v>1</v>
      </c>
      <c r="V30" s="40">
        <v>3</v>
      </c>
      <c r="W30" s="40">
        <v>1</v>
      </c>
      <c r="X30" s="40">
        <v>1</v>
      </c>
      <c r="Y30" s="40">
        <v>2</v>
      </c>
      <c r="Z30" s="40">
        <v>3</v>
      </c>
      <c r="AA30" s="40">
        <v>2</v>
      </c>
      <c r="AB30" s="40">
        <v>2</v>
      </c>
      <c r="AC30" s="40">
        <v>4</v>
      </c>
      <c r="AD30" s="39"/>
      <c r="AE30" s="40">
        <v>2</v>
      </c>
      <c r="AF30" s="48">
        <v>24</v>
      </c>
      <c r="AG30" s="661" t="str">
        <f t="shared" si="0"/>
        <v>Aarne Välja</v>
      </c>
      <c r="AH30" s="41">
        <f t="shared" si="3"/>
        <v>6</v>
      </c>
      <c r="AI30" s="672">
        <f t="shared" si="1"/>
        <v>24.001999999999999</v>
      </c>
      <c r="AJ30" s="670">
        <v>9</v>
      </c>
      <c r="AK30" s="155">
        <v>6</v>
      </c>
      <c r="AL30" s="671">
        <v>2</v>
      </c>
    </row>
    <row r="31" spans="1:38" x14ac:dyDescent="0.2">
      <c r="A31" s="694">
        <v>25</v>
      </c>
      <c r="B31" s="38" t="s">
        <v>91</v>
      </c>
      <c r="C31" s="40"/>
      <c r="D31" s="40"/>
      <c r="E31" s="40"/>
      <c r="F31" s="48">
        <v>25</v>
      </c>
      <c r="G31" s="40">
        <v>1</v>
      </c>
      <c r="H31" s="36">
        <v>2</v>
      </c>
      <c r="I31" s="36"/>
      <c r="J31" s="36"/>
      <c r="K31" s="36">
        <v>2</v>
      </c>
      <c r="L31" s="40"/>
      <c r="M31" s="664">
        <v>2</v>
      </c>
      <c r="N31" s="36">
        <v>3</v>
      </c>
      <c r="O31" s="36">
        <v>2</v>
      </c>
      <c r="P31" s="36">
        <v>3</v>
      </c>
      <c r="Q31" s="36">
        <v>3</v>
      </c>
      <c r="R31" s="36">
        <v>2</v>
      </c>
      <c r="S31" s="36">
        <v>2</v>
      </c>
      <c r="T31" s="40"/>
      <c r="U31" s="36">
        <v>6</v>
      </c>
      <c r="V31" s="40">
        <v>1</v>
      </c>
      <c r="W31" s="40">
        <v>0</v>
      </c>
      <c r="X31" s="40">
        <v>2</v>
      </c>
      <c r="Y31" s="40">
        <v>2</v>
      </c>
      <c r="Z31" s="40">
        <v>1</v>
      </c>
      <c r="AA31" s="40">
        <v>0</v>
      </c>
      <c r="AB31" s="40">
        <v>5</v>
      </c>
      <c r="AC31" s="40">
        <v>1</v>
      </c>
      <c r="AD31" s="40">
        <v>1</v>
      </c>
      <c r="AE31" s="39"/>
      <c r="AF31" s="48">
        <v>25</v>
      </c>
      <c r="AG31" s="661" t="str">
        <f t="shared" si="0"/>
        <v>Matti Vinni</v>
      </c>
      <c r="AH31" s="41">
        <f t="shared" si="3"/>
        <v>5</v>
      </c>
      <c r="AI31" s="29">
        <f t="shared" si="1"/>
        <v>26</v>
      </c>
      <c r="AJ31" s="155">
        <v>11</v>
      </c>
      <c r="AK31" s="155">
        <v>4</v>
      </c>
      <c r="AL31" s="155"/>
    </row>
    <row r="32" spans="1:38" x14ac:dyDescent="0.2">
      <c r="A32" s="693" t="s">
        <v>24</v>
      </c>
      <c r="B32" s="47" t="s">
        <v>14</v>
      </c>
      <c r="C32" s="47"/>
      <c r="D32" s="47"/>
      <c r="E32" s="47"/>
      <c r="F32" s="47" t="s">
        <v>24</v>
      </c>
      <c r="G32" s="47">
        <v>1</v>
      </c>
      <c r="H32" s="47">
        <v>2</v>
      </c>
      <c r="I32" s="47">
        <v>3</v>
      </c>
      <c r="J32" s="47">
        <v>4</v>
      </c>
      <c r="K32" s="47">
        <v>5</v>
      </c>
      <c r="L32" s="47">
        <v>6</v>
      </c>
      <c r="M32" s="47">
        <v>7</v>
      </c>
      <c r="N32" s="47">
        <v>8</v>
      </c>
      <c r="O32" s="47">
        <v>9</v>
      </c>
      <c r="P32" s="47">
        <v>10</v>
      </c>
      <c r="Q32" s="47">
        <v>11</v>
      </c>
      <c r="R32" s="47">
        <v>12</v>
      </c>
      <c r="S32" s="47">
        <v>13</v>
      </c>
      <c r="T32" s="47">
        <v>14</v>
      </c>
      <c r="U32" s="47">
        <v>15</v>
      </c>
      <c r="V32" s="47">
        <v>16</v>
      </c>
      <c r="W32" s="47">
        <v>17</v>
      </c>
      <c r="X32" s="47">
        <v>18</v>
      </c>
      <c r="Y32" s="47">
        <v>19</v>
      </c>
      <c r="Z32" s="47">
        <v>20</v>
      </c>
      <c r="AA32" s="47">
        <v>21</v>
      </c>
      <c r="AB32" s="47">
        <v>22</v>
      </c>
      <c r="AC32" s="47">
        <v>23</v>
      </c>
      <c r="AD32" s="47">
        <v>24</v>
      </c>
      <c r="AE32" s="47">
        <v>25</v>
      </c>
      <c r="AF32" s="47" t="s">
        <v>24</v>
      </c>
      <c r="AG32" s="47" t="s">
        <v>14</v>
      </c>
      <c r="AH32" s="47" t="s">
        <v>26</v>
      </c>
      <c r="AI32" s="47" t="s">
        <v>25</v>
      </c>
      <c r="AJ32" s="657" t="s">
        <v>12</v>
      </c>
      <c r="AK32" s="657" t="s">
        <v>27</v>
      </c>
      <c r="AL32" s="692" t="s">
        <v>517</v>
      </c>
    </row>
    <row r="33" spans="1:37" x14ac:dyDescent="0.2">
      <c r="A33" s="659"/>
      <c r="B33" s="659"/>
      <c r="C33" s="659"/>
      <c r="D33" s="659"/>
      <c r="E33" s="659"/>
      <c r="F33" s="658"/>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658"/>
      <c r="AG33" s="658"/>
      <c r="AH33" s="35"/>
      <c r="AI33" s="660"/>
      <c r="AJ33" s="35"/>
      <c r="AK33" s="35"/>
    </row>
    <row r="34" spans="1:37" s="668" customFormat="1" x14ac:dyDescent="0.2">
      <c r="A34" s="680" t="s">
        <v>518</v>
      </c>
      <c r="AG34" s="293"/>
    </row>
    <row r="36" spans="1:37" x14ac:dyDescent="0.2">
      <c r="A36" s="693" t="s">
        <v>24</v>
      </c>
      <c r="B36" s="47" t="s">
        <v>14</v>
      </c>
      <c r="C36" s="47" t="s">
        <v>83</v>
      </c>
      <c r="D36" s="47" t="s">
        <v>84</v>
      </c>
      <c r="E36" s="47" t="s">
        <v>13</v>
      </c>
      <c r="F36" s="47" t="s">
        <v>24</v>
      </c>
      <c r="G36" s="47">
        <v>5</v>
      </c>
      <c r="H36" s="47">
        <v>6</v>
      </c>
      <c r="I36" s="47">
        <v>7</v>
      </c>
      <c r="J36" s="47">
        <v>8</v>
      </c>
      <c r="K36" s="47"/>
      <c r="L36" s="47" t="s">
        <v>26</v>
      </c>
      <c r="M36" s="47"/>
      <c r="N36" s="47"/>
      <c r="O36" s="47" t="s">
        <v>25</v>
      </c>
      <c r="P36" s="47"/>
      <c r="Q36" s="637"/>
      <c r="R36" s="657" t="s">
        <v>12</v>
      </c>
      <c r="S36" s="637"/>
      <c r="U36" s="637"/>
      <c r="V36" s="657" t="s">
        <v>27</v>
      </c>
      <c r="W36" s="637"/>
      <c r="X36" s="692" t="s">
        <v>517</v>
      </c>
      <c r="Y36" s="637"/>
      <c r="Z36" s="637"/>
    </row>
    <row r="37" spans="1:37" x14ac:dyDescent="0.2">
      <c r="A37" s="694">
        <v>5</v>
      </c>
      <c r="B37" s="38" t="s">
        <v>126</v>
      </c>
      <c r="C37" s="40" t="s">
        <v>137</v>
      </c>
      <c r="D37" s="40"/>
      <c r="E37" s="40"/>
      <c r="F37" s="48">
        <v>5</v>
      </c>
      <c r="G37" s="39"/>
      <c r="H37" s="40">
        <v>0</v>
      </c>
      <c r="I37" s="40">
        <v>0</v>
      </c>
      <c r="J37" s="40">
        <v>0</v>
      </c>
      <c r="K37" s="683"/>
      <c r="L37" s="688">
        <f>RANK(O37,O$37:O$40,0)</f>
        <v>4</v>
      </c>
      <c r="M37" s="685"/>
      <c r="N37" s="683"/>
      <c r="O37" s="684">
        <v>0</v>
      </c>
      <c r="P37" s="685"/>
      <c r="Q37" s="155"/>
      <c r="R37" s="155">
        <v>0</v>
      </c>
      <c r="S37" s="155"/>
      <c r="U37" s="155"/>
      <c r="V37" s="155">
        <v>0</v>
      </c>
      <c r="W37" s="155"/>
      <c r="X37" s="155"/>
      <c r="Y37" s="155"/>
      <c r="Z37" s="155"/>
    </row>
    <row r="38" spans="1:37" x14ac:dyDescent="0.2">
      <c r="A38" s="694">
        <v>6</v>
      </c>
      <c r="B38" s="38" t="s">
        <v>516</v>
      </c>
      <c r="C38" s="40" t="s">
        <v>137</v>
      </c>
      <c r="D38" s="40"/>
      <c r="E38" s="662" t="s">
        <v>187</v>
      </c>
      <c r="F38" s="48">
        <v>6</v>
      </c>
      <c r="G38" s="681">
        <v>3</v>
      </c>
      <c r="H38" s="39"/>
      <c r="I38" s="40">
        <v>0</v>
      </c>
      <c r="J38" s="681">
        <v>6</v>
      </c>
      <c r="K38" s="689"/>
      <c r="L38" s="688">
        <f>RANK(O38,O$37:O$40,0)</f>
        <v>2</v>
      </c>
      <c r="M38" s="690"/>
      <c r="N38" s="683"/>
      <c r="O38" s="684">
        <v>4</v>
      </c>
      <c r="P38" s="685"/>
      <c r="Q38" s="155"/>
      <c r="R38" s="155">
        <v>2</v>
      </c>
      <c r="S38" s="155"/>
      <c r="U38" s="155"/>
      <c r="V38" s="155">
        <v>0</v>
      </c>
      <c r="W38" s="155"/>
      <c r="X38" s="155"/>
      <c r="Y38" s="155"/>
      <c r="Z38" s="155"/>
    </row>
    <row r="39" spans="1:37" x14ac:dyDescent="0.2">
      <c r="A39" s="694">
        <v>7</v>
      </c>
      <c r="B39" s="38" t="s">
        <v>108</v>
      </c>
      <c r="C39" s="40" t="s">
        <v>137</v>
      </c>
      <c r="D39" s="40"/>
      <c r="E39" s="40"/>
      <c r="F39" s="48">
        <v>7</v>
      </c>
      <c r="G39" s="681">
        <v>4</v>
      </c>
      <c r="H39" s="681">
        <v>4</v>
      </c>
      <c r="I39" s="39"/>
      <c r="J39" s="681">
        <v>3</v>
      </c>
      <c r="K39" s="689"/>
      <c r="L39" s="688">
        <f>RANK(O39,O$37:O$40,0)</f>
        <v>1</v>
      </c>
      <c r="M39" s="690"/>
      <c r="N39" s="683"/>
      <c r="O39" s="684">
        <v>6</v>
      </c>
      <c r="P39" s="685"/>
      <c r="Q39" s="155"/>
      <c r="R39" s="155">
        <v>3</v>
      </c>
      <c r="S39" s="155"/>
      <c r="U39" s="155"/>
      <c r="V39" s="155">
        <v>0</v>
      </c>
      <c r="W39" s="155"/>
      <c r="X39" s="155"/>
      <c r="Y39" s="155"/>
      <c r="Z39" s="155"/>
    </row>
    <row r="40" spans="1:37" x14ac:dyDescent="0.2">
      <c r="A40" s="694">
        <v>8</v>
      </c>
      <c r="B40" s="38" t="s">
        <v>131</v>
      </c>
      <c r="C40" s="40" t="s">
        <v>137</v>
      </c>
      <c r="D40" s="40"/>
      <c r="E40" s="40"/>
      <c r="F40" s="48">
        <v>8</v>
      </c>
      <c r="G40" s="681">
        <v>3</v>
      </c>
      <c r="H40" s="40">
        <v>0</v>
      </c>
      <c r="I40" s="40">
        <v>0</v>
      </c>
      <c r="J40" s="39"/>
      <c r="K40" s="689"/>
      <c r="L40" s="688">
        <f>RANK(O40,O$37:O$40,0)</f>
        <v>3</v>
      </c>
      <c r="M40" s="690"/>
      <c r="N40" s="683"/>
      <c r="O40" s="684">
        <v>2</v>
      </c>
      <c r="P40" s="685"/>
      <c r="Q40" s="155"/>
      <c r="R40" s="155">
        <v>1</v>
      </c>
      <c r="S40" s="155"/>
      <c r="U40" s="155"/>
      <c r="V40" s="155">
        <v>0</v>
      </c>
      <c r="W40" s="155"/>
      <c r="X40" s="155"/>
      <c r="Y40" s="155"/>
      <c r="Z40" s="155"/>
    </row>
    <row r="42" spans="1:37" x14ac:dyDescent="0.2">
      <c r="A42" s="680" t="s">
        <v>519</v>
      </c>
    </row>
    <row r="44" spans="1:37" x14ac:dyDescent="0.2">
      <c r="A44" s="693" t="s">
        <v>24</v>
      </c>
      <c r="B44" s="47" t="s">
        <v>14</v>
      </c>
      <c r="C44" s="47" t="s">
        <v>83</v>
      </c>
      <c r="D44" s="47" t="s">
        <v>84</v>
      </c>
      <c r="E44" s="47" t="s">
        <v>13</v>
      </c>
      <c r="F44" s="47" t="s">
        <v>24</v>
      </c>
      <c r="G44" s="47">
        <v>1</v>
      </c>
      <c r="H44" s="47">
        <v>2</v>
      </c>
      <c r="I44" s="47">
        <v>3</v>
      </c>
      <c r="J44" s="47">
        <v>4</v>
      </c>
      <c r="K44" s="47"/>
      <c r="L44" s="47" t="s">
        <v>26</v>
      </c>
      <c r="M44" s="47"/>
      <c r="N44" s="47"/>
      <c r="O44" s="47" t="s">
        <v>25</v>
      </c>
      <c r="P44" s="47"/>
      <c r="Q44" s="637"/>
      <c r="R44" s="657" t="s">
        <v>12</v>
      </c>
      <c r="S44" s="637"/>
      <c r="U44" s="637"/>
      <c r="V44" s="657" t="s">
        <v>27</v>
      </c>
      <c r="W44" s="637"/>
      <c r="X44" s="692" t="s">
        <v>517</v>
      </c>
      <c r="Y44" s="637"/>
      <c r="Z44" s="637"/>
    </row>
    <row r="45" spans="1:37" x14ac:dyDescent="0.2">
      <c r="A45" s="694">
        <v>1</v>
      </c>
      <c r="B45" s="38" t="s">
        <v>206</v>
      </c>
      <c r="C45" s="40"/>
      <c r="D45" s="40" t="s">
        <v>138</v>
      </c>
      <c r="E45" s="40"/>
      <c r="F45" s="48">
        <v>1</v>
      </c>
      <c r="G45" s="39"/>
      <c r="H45" s="681">
        <v>4</v>
      </c>
      <c r="I45" s="40">
        <v>0</v>
      </c>
      <c r="J45" s="682">
        <v>2</v>
      </c>
      <c r="K45" s="689"/>
      <c r="L45" s="688">
        <f>RANK(O45,O$45:O$48,0)</f>
        <v>2</v>
      </c>
      <c r="M45" s="690"/>
      <c r="N45" s="683"/>
      <c r="O45" s="686">
        <f>R45*$O$1+V45*$O$2+Y45*0.001</f>
        <v>3.004</v>
      </c>
      <c r="P45" s="685"/>
      <c r="Q45" s="155"/>
      <c r="R45" s="155">
        <v>1</v>
      </c>
      <c r="S45" s="155"/>
      <c r="U45" s="155"/>
      <c r="V45" s="155">
        <v>1</v>
      </c>
      <c r="W45" s="155"/>
      <c r="X45" s="155"/>
      <c r="Y45" s="687">
        <v>4</v>
      </c>
      <c r="Z45" s="155"/>
    </row>
    <row r="46" spans="1:37" x14ac:dyDescent="0.2">
      <c r="A46" s="694">
        <v>2</v>
      </c>
      <c r="B46" s="37" t="s">
        <v>125</v>
      </c>
      <c r="C46" s="36"/>
      <c r="D46" s="36" t="s">
        <v>138</v>
      </c>
      <c r="E46" s="36" t="s">
        <v>187</v>
      </c>
      <c r="F46" s="48">
        <v>2</v>
      </c>
      <c r="G46" s="40">
        <v>0</v>
      </c>
      <c r="H46" s="39" t="s">
        <v>173</v>
      </c>
      <c r="I46" s="681">
        <v>4</v>
      </c>
      <c r="J46" s="682">
        <v>1</v>
      </c>
      <c r="K46" s="689"/>
      <c r="L46" s="688">
        <f>RANK(O46,O$45:O$48,0)</f>
        <v>3</v>
      </c>
      <c r="M46" s="690"/>
      <c r="N46" s="683"/>
      <c r="O46" s="686">
        <f>R46*$O$1+V46*$O$2+Y46*0.001</f>
        <v>3.0019999999999998</v>
      </c>
      <c r="P46" s="685"/>
      <c r="Q46" s="155"/>
      <c r="R46" s="155">
        <v>1</v>
      </c>
      <c r="S46" s="155"/>
      <c r="U46" s="155"/>
      <c r="V46" s="155">
        <v>1</v>
      </c>
      <c r="W46" s="155"/>
      <c r="X46" s="155"/>
      <c r="Y46" s="687">
        <v>2</v>
      </c>
      <c r="Z46" s="155"/>
    </row>
    <row r="47" spans="1:37" x14ac:dyDescent="0.2">
      <c r="A47" s="694">
        <v>3</v>
      </c>
      <c r="B47" s="38" t="s">
        <v>264</v>
      </c>
      <c r="C47" s="40" t="s">
        <v>137</v>
      </c>
      <c r="D47" s="40" t="s">
        <v>138</v>
      </c>
      <c r="E47" s="662" t="s">
        <v>187</v>
      </c>
      <c r="F47" s="48">
        <v>3</v>
      </c>
      <c r="G47" s="681">
        <v>2</v>
      </c>
      <c r="H47" s="36">
        <v>0</v>
      </c>
      <c r="I47" s="39"/>
      <c r="J47" s="681">
        <v>6</v>
      </c>
      <c r="K47" s="689"/>
      <c r="L47" s="688">
        <f>RANK(O47,O$45:O$48,0)</f>
        <v>1</v>
      </c>
      <c r="M47" s="690"/>
      <c r="N47" s="683"/>
      <c r="O47" s="684">
        <f>R47*$O$1+V47*$O$2+Y47*0.001</f>
        <v>4</v>
      </c>
      <c r="P47" s="685"/>
      <c r="Q47" s="155"/>
      <c r="R47" s="155">
        <v>2</v>
      </c>
      <c r="S47" s="155"/>
      <c r="U47" s="155"/>
      <c r="V47" s="155">
        <v>0</v>
      </c>
      <c r="W47" s="155"/>
      <c r="X47" s="155"/>
      <c r="Y47" s="155"/>
      <c r="Z47" s="155"/>
    </row>
    <row r="48" spans="1:37" x14ac:dyDescent="0.2">
      <c r="A48" s="694">
        <v>4</v>
      </c>
      <c r="B48" s="37" t="s">
        <v>265</v>
      </c>
      <c r="C48" s="36"/>
      <c r="D48" s="36" t="s">
        <v>138</v>
      </c>
      <c r="E48" s="662" t="s">
        <v>187</v>
      </c>
      <c r="F48" s="48">
        <v>4</v>
      </c>
      <c r="G48" s="682">
        <v>2</v>
      </c>
      <c r="H48" s="682">
        <v>1</v>
      </c>
      <c r="I48" s="36">
        <v>0</v>
      </c>
      <c r="J48" s="39"/>
      <c r="K48" s="689"/>
      <c r="L48" s="688">
        <f>RANK(O48,O$45:O$48,0)</f>
        <v>4</v>
      </c>
      <c r="M48" s="690"/>
      <c r="N48" s="683"/>
      <c r="O48" s="684">
        <f>R48*$O$1+V48*$O$2+Y48*0.001</f>
        <v>2</v>
      </c>
      <c r="P48" s="685"/>
      <c r="Q48" s="155"/>
      <c r="R48" s="155">
        <v>0</v>
      </c>
      <c r="S48" s="155"/>
      <c r="U48" s="155"/>
      <c r="V48" s="155">
        <v>2</v>
      </c>
      <c r="W48" s="155"/>
      <c r="X48" s="155"/>
      <c r="Y48" s="155"/>
      <c r="Z48" s="155"/>
    </row>
    <row r="50" spans="1:38" x14ac:dyDescent="0.2">
      <c r="A50" s="680" t="s">
        <v>520</v>
      </c>
    </row>
    <row r="51" spans="1:38" x14ac:dyDescent="0.2">
      <c r="AG51" s="668"/>
      <c r="AH51" s="668"/>
      <c r="AI51" s="668"/>
      <c r="AJ51" s="668"/>
      <c r="AK51" s="668"/>
      <c r="AL51" s="668"/>
    </row>
    <row r="52" spans="1:38" x14ac:dyDescent="0.2">
      <c r="A52" s="693" t="s">
        <v>24</v>
      </c>
      <c r="B52" s="47" t="s">
        <v>14</v>
      </c>
      <c r="C52" s="47" t="s">
        <v>83</v>
      </c>
      <c r="D52" s="47" t="s">
        <v>84</v>
      </c>
      <c r="E52" s="47" t="s">
        <v>13</v>
      </c>
      <c r="F52" s="47" t="s">
        <v>24</v>
      </c>
      <c r="G52" s="47">
        <v>2</v>
      </c>
      <c r="H52" s="47">
        <v>9</v>
      </c>
      <c r="I52" s="47">
        <v>10</v>
      </c>
      <c r="J52" s="47">
        <v>11</v>
      </c>
      <c r="K52" s="47">
        <v>12</v>
      </c>
      <c r="L52" s="47">
        <v>13</v>
      </c>
      <c r="M52" s="47">
        <v>15</v>
      </c>
      <c r="N52" s="47">
        <v>16</v>
      </c>
      <c r="O52" s="47"/>
      <c r="P52" s="47" t="s">
        <v>26</v>
      </c>
      <c r="Q52" s="47"/>
      <c r="R52" s="47"/>
      <c r="S52" s="47" t="s">
        <v>25</v>
      </c>
      <c r="U52" s="47"/>
      <c r="V52" s="637"/>
      <c r="W52" s="657" t="s">
        <v>12</v>
      </c>
      <c r="X52" s="637"/>
      <c r="Y52" s="637"/>
      <c r="Z52" s="657" t="s">
        <v>27</v>
      </c>
      <c r="AA52" s="637"/>
      <c r="AB52" s="692" t="s">
        <v>517</v>
      </c>
      <c r="AC52" s="637"/>
      <c r="AD52" s="637"/>
      <c r="AH52" s="668"/>
      <c r="AI52" s="668"/>
      <c r="AJ52" s="668"/>
      <c r="AK52" s="668"/>
      <c r="AL52" s="668"/>
    </row>
    <row r="53" spans="1:38" x14ac:dyDescent="0.2">
      <c r="A53" s="694">
        <v>2</v>
      </c>
      <c r="B53" s="37" t="s">
        <v>125</v>
      </c>
      <c r="C53" s="36"/>
      <c r="D53" s="36" t="s">
        <v>138</v>
      </c>
      <c r="E53" s="36" t="s">
        <v>187</v>
      </c>
      <c r="F53" s="48">
        <v>2</v>
      </c>
      <c r="G53" s="39" t="s">
        <v>173</v>
      </c>
      <c r="H53" s="681">
        <v>4</v>
      </c>
      <c r="I53" s="681">
        <v>2</v>
      </c>
      <c r="J53" s="681">
        <v>3</v>
      </c>
      <c r="K53" s="681">
        <v>3</v>
      </c>
      <c r="L53" s="681">
        <v>3</v>
      </c>
      <c r="M53" s="682">
        <v>1</v>
      </c>
      <c r="N53" s="681">
        <v>5</v>
      </c>
      <c r="O53" s="689"/>
      <c r="P53" s="688">
        <f t="shared" ref="P53:P61" si="4">RANK(S53,S$53:S$61,0)</f>
        <v>1</v>
      </c>
      <c r="Q53" s="690"/>
      <c r="R53" s="683"/>
      <c r="S53" s="691">
        <f t="shared" ref="S53:S61" si="5">W53*$O$1+Z53*$O$2+AC53*0.001</f>
        <v>13</v>
      </c>
      <c r="U53" s="690"/>
      <c r="V53" s="670"/>
      <c r="W53" s="670">
        <v>6</v>
      </c>
      <c r="X53" s="670"/>
      <c r="Y53" s="670"/>
      <c r="Z53" s="670">
        <v>1</v>
      </c>
      <c r="AA53" s="670"/>
      <c r="AB53" s="670"/>
      <c r="AC53" s="670"/>
      <c r="AH53" s="155"/>
      <c r="AI53" s="668"/>
      <c r="AJ53" s="668"/>
      <c r="AK53" s="668"/>
      <c r="AL53" s="668"/>
    </row>
    <row r="54" spans="1:38" x14ac:dyDescent="0.2">
      <c r="A54" s="694">
        <v>9</v>
      </c>
      <c r="B54" s="38" t="s">
        <v>762</v>
      </c>
      <c r="C54" s="40"/>
      <c r="D54" s="40"/>
      <c r="E54" s="40" t="s">
        <v>187</v>
      </c>
      <c r="F54" s="48">
        <v>9</v>
      </c>
      <c r="G54" s="36">
        <v>0</v>
      </c>
      <c r="H54" s="39"/>
      <c r="I54" s="681">
        <v>3</v>
      </c>
      <c r="J54" s="36">
        <v>0</v>
      </c>
      <c r="K54" s="681">
        <v>4</v>
      </c>
      <c r="L54" s="681">
        <v>3</v>
      </c>
      <c r="M54" s="36">
        <v>1</v>
      </c>
      <c r="N54" s="682">
        <v>1</v>
      </c>
      <c r="O54" s="689"/>
      <c r="P54" s="688">
        <f t="shared" si="4"/>
        <v>3</v>
      </c>
      <c r="Q54" s="690"/>
      <c r="R54" s="683"/>
      <c r="S54" s="686">
        <f t="shared" si="5"/>
        <v>7.0030000000000001</v>
      </c>
      <c r="U54" s="690"/>
      <c r="V54" s="670"/>
      <c r="W54" s="670">
        <v>3</v>
      </c>
      <c r="X54" s="670"/>
      <c r="Y54" s="670"/>
      <c r="Z54" s="670">
        <v>1</v>
      </c>
      <c r="AA54" s="670"/>
      <c r="AB54" s="670"/>
      <c r="AC54" s="687">
        <v>3</v>
      </c>
      <c r="AH54" s="155"/>
      <c r="AI54" s="668"/>
      <c r="AJ54" s="668"/>
      <c r="AK54" s="668"/>
      <c r="AL54" s="668"/>
    </row>
    <row r="55" spans="1:38" x14ac:dyDescent="0.2">
      <c r="A55" s="694">
        <v>10</v>
      </c>
      <c r="B55" s="38" t="s">
        <v>119</v>
      </c>
      <c r="C55" s="40"/>
      <c r="D55" s="40"/>
      <c r="E55" s="40" t="s">
        <v>187</v>
      </c>
      <c r="F55" s="48">
        <v>10</v>
      </c>
      <c r="G55" s="36">
        <v>1</v>
      </c>
      <c r="H55" s="36">
        <v>0</v>
      </c>
      <c r="I55" s="39"/>
      <c r="J55" s="36">
        <v>0</v>
      </c>
      <c r="K55" s="681">
        <v>2</v>
      </c>
      <c r="L55" s="681">
        <v>4</v>
      </c>
      <c r="M55" s="682">
        <v>1</v>
      </c>
      <c r="N55" s="681">
        <v>2</v>
      </c>
      <c r="O55" s="689"/>
      <c r="P55" s="688">
        <f t="shared" si="4"/>
        <v>4</v>
      </c>
      <c r="Q55" s="690"/>
      <c r="R55" s="683"/>
      <c r="S55" s="686">
        <f t="shared" si="5"/>
        <v>7.0019999999999998</v>
      </c>
      <c r="U55" s="690"/>
      <c r="V55" s="670"/>
      <c r="W55" s="670">
        <v>3</v>
      </c>
      <c r="X55" s="670"/>
      <c r="Y55" s="670"/>
      <c r="Z55" s="670">
        <v>1</v>
      </c>
      <c r="AA55" s="670"/>
      <c r="AB55" s="670"/>
      <c r="AC55" s="687">
        <v>2</v>
      </c>
      <c r="AH55" s="155"/>
      <c r="AI55" s="668"/>
      <c r="AJ55" s="668"/>
      <c r="AK55" s="668"/>
      <c r="AL55" s="668"/>
    </row>
    <row r="56" spans="1:38" x14ac:dyDescent="0.2">
      <c r="A56" s="694">
        <v>11</v>
      </c>
      <c r="B56" s="37" t="s">
        <v>117</v>
      </c>
      <c r="C56" s="36"/>
      <c r="D56" s="36"/>
      <c r="E56" s="36" t="s">
        <v>187</v>
      </c>
      <c r="F56" s="48">
        <v>11</v>
      </c>
      <c r="G56" s="36">
        <v>1</v>
      </c>
      <c r="H56" s="681">
        <v>3</v>
      </c>
      <c r="I56" s="681">
        <v>5</v>
      </c>
      <c r="J56" s="39"/>
      <c r="K56" s="681">
        <v>2</v>
      </c>
      <c r="L56" s="36">
        <v>1</v>
      </c>
      <c r="M56" s="36">
        <v>1</v>
      </c>
      <c r="N56" s="36">
        <v>0</v>
      </c>
      <c r="O56" s="689"/>
      <c r="P56" s="688">
        <f t="shared" si="4"/>
        <v>6</v>
      </c>
      <c r="Q56" s="690"/>
      <c r="R56" s="683"/>
      <c r="S56" s="691">
        <f t="shared" si="5"/>
        <v>6</v>
      </c>
      <c r="U56" s="690"/>
      <c r="V56" s="670"/>
      <c r="W56" s="670">
        <v>3</v>
      </c>
      <c r="X56" s="670"/>
      <c r="Y56" s="670"/>
      <c r="Z56" s="670">
        <v>0</v>
      </c>
      <c r="AA56" s="670"/>
      <c r="AB56" s="670"/>
      <c r="AC56" s="670"/>
      <c r="AH56" s="155"/>
      <c r="AI56" s="668"/>
      <c r="AJ56" s="668"/>
      <c r="AK56" s="668"/>
      <c r="AL56" s="668"/>
    </row>
    <row r="57" spans="1:38" x14ac:dyDescent="0.2">
      <c r="A57" s="694">
        <v>12</v>
      </c>
      <c r="B57" s="38" t="s">
        <v>262</v>
      </c>
      <c r="C57" s="40"/>
      <c r="D57" s="40"/>
      <c r="E57" s="40" t="s">
        <v>187</v>
      </c>
      <c r="F57" s="48">
        <v>12</v>
      </c>
      <c r="G57" s="36">
        <v>0</v>
      </c>
      <c r="H57" s="36">
        <v>0</v>
      </c>
      <c r="I57" s="36">
        <v>0</v>
      </c>
      <c r="J57" s="36">
        <v>1</v>
      </c>
      <c r="K57" s="39"/>
      <c r="L57" s="682">
        <v>1</v>
      </c>
      <c r="M57" s="681">
        <v>4</v>
      </c>
      <c r="N57" s="36">
        <v>0</v>
      </c>
      <c r="O57" s="689"/>
      <c r="P57" s="688">
        <f t="shared" si="4"/>
        <v>8</v>
      </c>
      <c r="Q57" s="690"/>
      <c r="R57" s="683"/>
      <c r="S57" s="691">
        <f t="shared" si="5"/>
        <v>3</v>
      </c>
      <c r="U57" s="690"/>
      <c r="V57" s="670"/>
      <c r="W57" s="670">
        <v>1</v>
      </c>
      <c r="X57" s="670"/>
      <c r="Y57" s="670"/>
      <c r="Z57" s="670">
        <v>1</v>
      </c>
      <c r="AA57" s="670"/>
      <c r="AB57" s="670"/>
      <c r="AC57" s="670"/>
      <c r="AH57" s="155"/>
      <c r="AI57" s="668"/>
      <c r="AJ57" s="668"/>
      <c r="AK57" s="668"/>
      <c r="AL57" s="668"/>
    </row>
    <row r="58" spans="1:38" x14ac:dyDescent="0.2">
      <c r="A58" s="694">
        <v>13</v>
      </c>
      <c r="B58" s="38" t="s">
        <v>209</v>
      </c>
      <c r="C58" s="40"/>
      <c r="D58" s="40"/>
      <c r="E58" s="40" t="s">
        <v>187</v>
      </c>
      <c r="F58" s="48">
        <v>13</v>
      </c>
      <c r="G58" s="36">
        <v>0</v>
      </c>
      <c r="H58" s="36">
        <v>0</v>
      </c>
      <c r="I58" s="36">
        <v>0</v>
      </c>
      <c r="J58" s="681">
        <v>3</v>
      </c>
      <c r="K58" s="682">
        <v>1</v>
      </c>
      <c r="L58" s="39"/>
      <c r="M58" s="682">
        <v>1</v>
      </c>
      <c r="N58" s="36">
        <v>0</v>
      </c>
      <c r="O58" s="689"/>
      <c r="P58" s="688">
        <f t="shared" si="4"/>
        <v>7</v>
      </c>
      <c r="Q58" s="690"/>
      <c r="R58" s="683"/>
      <c r="S58" s="691">
        <f t="shared" si="5"/>
        <v>4</v>
      </c>
      <c r="U58" s="690"/>
      <c r="V58" s="670"/>
      <c r="W58" s="670">
        <v>1</v>
      </c>
      <c r="X58" s="670"/>
      <c r="Y58" s="670"/>
      <c r="Z58" s="670">
        <v>2</v>
      </c>
      <c r="AA58" s="670"/>
      <c r="AB58" s="670"/>
      <c r="AC58" s="670"/>
      <c r="AH58" s="155"/>
      <c r="AI58" s="668"/>
      <c r="AJ58" s="668"/>
      <c r="AK58" s="668"/>
      <c r="AL58" s="668"/>
    </row>
    <row r="59" spans="1:38" hidden="1" x14ac:dyDescent="0.2">
      <c r="A59" s="694">
        <v>14</v>
      </c>
      <c r="B59" s="695" t="s">
        <v>124</v>
      </c>
      <c r="C59" s="40"/>
      <c r="D59" s="40"/>
      <c r="E59" s="40" t="s">
        <v>187</v>
      </c>
      <c r="F59" s="48">
        <v>14</v>
      </c>
      <c r="G59" s="40"/>
      <c r="H59" s="40"/>
      <c r="I59" s="40"/>
      <c r="J59" s="40"/>
      <c r="K59" s="40"/>
      <c r="L59" s="40"/>
      <c r="M59" s="40"/>
      <c r="N59" s="40"/>
      <c r="O59" s="689"/>
      <c r="P59" s="688">
        <f t="shared" si="4"/>
        <v>9</v>
      </c>
      <c r="Q59" s="690"/>
      <c r="R59" s="683"/>
      <c r="S59" s="691">
        <f t="shared" si="5"/>
        <v>0</v>
      </c>
      <c r="U59" s="690"/>
      <c r="V59" s="670"/>
      <c r="W59" s="670"/>
      <c r="X59" s="670"/>
      <c r="Y59" s="670"/>
      <c r="Z59" s="670"/>
      <c r="AA59" s="670"/>
      <c r="AB59" s="670"/>
      <c r="AC59" s="670"/>
      <c r="AH59" s="155"/>
      <c r="AI59" s="668"/>
      <c r="AJ59" s="668"/>
      <c r="AK59" s="668"/>
      <c r="AL59" s="668"/>
    </row>
    <row r="60" spans="1:38" x14ac:dyDescent="0.2">
      <c r="A60" s="694">
        <v>15</v>
      </c>
      <c r="B60" s="38" t="s">
        <v>208</v>
      </c>
      <c r="C60" s="40"/>
      <c r="D60" s="40"/>
      <c r="E60" s="40" t="s">
        <v>187</v>
      </c>
      <c r="F60" s="48">
        <v>15</v>
      </c>
      <c r="G60" s="682">
        <v>1</v>
      </c>
      <c r="H60" s="681">
        <v>3</v>
      </c>
      <c r="I60" s="682">
        <v>1</v>
      </c>
      <c r="J60" s="681">
        <v>3</v>
      </c>
      <c r="K60" s="36">
        <v>0</v>
      </c>
      <c r="L60" s="682">
        <v>1</v>
      </c>
      <c r="M60" s="39"/>
      <c r="N60" s="681">
        <v>2</v>
      </c>
      <c r="O60" s="689"/>
      <c r="P60" s="688">
        <f t="shared" si="4"/>
        <v>2</v>
      </c>
      <c r="Q60" s="690"/>
      <c r="R60" s="683"/>
      <c r="S60" s="691">
        <f t="shared" si="5"/>
        <v>9</v>
      </c>
      <c r="U60" s="690"/>
      <c r="V60" s="670"/>
      <c r="W60" s="670">
        <v>3</v>
      </c>
      <c r="X60" s="670"/>
      <c r="Y60" s="670"/>
      <c r="Z60" s="670">
        <v>3</v>
      </c>
      <c r="AA60" s="670"/>
      <c r="AB60" s="670"/>
      <c r="AC60" s="670"/>
      <c r="AH60" s="155"/>
      <c r="AI60" s="668"/>
      <c r="AJ60" s="668"/>
      <c r="AK60" s="668"/>
      <c r="AL60" s="668"/>
    </row>
    <row r="61" spans="1:38" x14ac:dyDescent="0.2">
      <c r="A61" s="694">
        <v>16</v>
      </c>
      <c r="B61" s="38" t="s">
        <v>122</v>
      </c>
      <c r="C61" s="40"/>
      <c r="D61" s="40"/>
      <c r="E61" s="40" t="s">
        <v>187</v>
      </c>
      <c r="F61" s="48">
        <v>16</v>
      </c>
      <c r="G61" s="36">
        <v>0</v>
      </c>
      <c r="H61" s="682">
        <v>1</v>
      </c>
      <c r="I61" s="36">
        <v>1</v>
      </c>
      <c r="J61" s="681">
        <v>4</v>
      </c>
      <c r="K61" s="681">
        <v>2</v>
      </c>
      <c r="L61" s="681">
        <v>3</v>
      </c>
      <c r="M61" s="36">
        <v>1</v>
      </c>
      <c r="N61" s="39"/>
      <c r="O61" s="689"/>
      <c r="P61" s="688">
        <f t="shared" si="4"/>
        <v>5</v>
      </c>
      <c r="Q61" s="690"/>
      <c r="R61" s="683"/>
      <c r="S61" s="686">
        <f t="shared" si="5"/>
        <v>7.0010000000000003</v>
      </c>
      <c r="U61" s="690"/>
      <c r="V61" s="670"/>
      <c r="W61" s="670">
        <v>3</v>
      </c>
      <c r="X61" s="670"/>
      <c r="Y61" s="670"/>
      <c r="Z61" s="670">
        <v>1</v>
      </c>
      <c r="AA61" s="670"/>
      <c r="AB61" s="670"/>
      <c r="AC61" s="687">
        <v>1</v>
      </c>
      <c r="AH61" s="155"/>
      <c r="AI61" s="668"/>
      <c r="AJ61" s="668"/>
      <c r="AK61" s="668"/>
      <c r="AL61" s="668"/>
    </row>
    <row r="62" spans="1:38" x14ac:dyDescent="0.2">
      <c r="R62" s="663"/>
      <c r="S62" s="663"/>
      <c r="U62" s="663"/>
      <c r="V62" s="663"/>
      <c r="W62" s="663"/>
      <c r="X62" s="663"/>
      <c r="Y62" s="663"/>
      <c r="Z62" s="663"/>
      <c r="AA62" s="663"/>
      <c r="AB62" s="663"/>
      <c r="AC62" s="663"/>
      <c r="AD62" s="663"/>
      <c r="AG62" s="668"/>
      <c r="AH62" s="668"/>
      <c r="AI62" s="668"/>
      <c r="AJ62" s="668"/>
      <c r="AK62" s="668"/>
      <c r="AL62" s="668"/>
    </row>
    <row r="63" spans="1:38" x14ac:dyDescent="0.2">
      <c r="AG63" s="668"/>
      <c r="AH63" s="668"/>
      <c r="AI63" s="668"/>
      <c r="AJ63" s="668"/>
      <c r="AK63" s="668"/>
      <c r="AL63" s="668"/>
    </row>
    <row r="64" spans="1:38" x14ac:dyDescent="0.2">
      <c r="AG64" s="668"/>
      <c r="AH64" s="668"/>
      <c r="AI64" s="668"/>
      <c r="AJ64" s="668"/>
      <c r="AK64" s="668"/>
      <c r="AL64" s="668"/>
    </row>
    <row r="65" spans="33:38" x14ac:dyDescent="0.2">
      <c r="AG65" s="668"/>
      <c r="AH65" s="668"/>
      <c r="AI65" s="668"/>
      <c r="AJ65" s="668"/>
      <c r="AK65" s="668"/>
      <c r="AL65" s="668"/>
    </row>
    <row r="66" spans="33:38" x14ac:dyDescent="0.2">
      <c r="AG66" s="668"/>
      <c r="AH66" s="668"/>
      <c r="AI66" s="668"/>
      <c r="AJ66" s="668"/>
      <c r="AK66" s="668"/>
      <c r="AL66" s="668"/>
    </row>
    <row r="67" spans="33:38" x14ac:dyDescent="0.2">
      <c r="AG67" s="668"/>
      <c r="AH67" s="668"/>
      <c r="AI67" s="668"/>
      <c r="AJ67" s="668"/>
      <c r="AK67" s="668"/>
      <c r="AL67" s="668"/>
    </row>
    <row r="68" spans="33:38" x14ac:dyDescent="0.2">
      <c r="AG68" s="668"/>
      <c r="AH68" s="668"/>
      <c r="AI68" s="668"/>
      <c r="AJ68" s="668"/>
      <c r="AK68" s="668"/>
      <c r="AL68" s="668"/>
    </row>
    <row r="69" spans="33:38" x14ac:dyDescent="0.2">
      <c r="AG69" s="668"/>
      <c r="AH69" s="668"/>
      <c r="AI69" s="668"/>
      <c r="AJ69" s="668"/>
      <c r="AK69" s="668"/>
      <c r="AL69" s="668"/>
    </row>
    <row r="70" spans="33:38" x14ac:dyDescent="0.2">
      <c r="AG70" s="668"/>
      <c r="AH70" s="668"/>
      <c r="AI70" s="668"/>
      <c r="AJ70" s="668"/>
      <c r="AK70" s="668"/>
      <c r="AL70" s="668"/>
    </row>
    <row r="71" spans="33:38" x14ac:dyDescent="0.2">
      <c r="AG71" s="668"/>
      <c r="AH71" s="668"/>
      <c r="AI71" s="668"/>
      <c r="AJ71" s="668"/>
      <c r="AK71" s="668"/>
      <c r="AL71" s="668"/>
    </row>
    <row r="72" spans="33:38" x14ac:dyDescent="0.2">
      <c r="AG72" s="668"/>
      <c r="AH72" s="668"/>
      <c r="AI72" s="668"/>
      <c r="AJ72" s="668"/>
      <c r="AK72" s="668"/>
      <c r="AL72" s="668"/>
    </row>
    <row r="73" spans="33:38" x14ac:dyDescent="0.2">
      <c r="AG73" s="668"/>
      <c r="AH73" s="668"/>
      <c r="AI73" s="668"/>
      <c r="AJ73" s="668"/>
      <c r="AK73" s="668"/>
      <c r="AL73" s="668"/>
    </row>
  </sheetData>
  <conditionalFormatting sqref="AH7:AH31">
    <cfRule type="cellIs" dxfId="790" priority="67" stopIfTrue="1" operator="equal">
      <formula>3</formula>
    </cfRule>
    <cfRule type="cellIs" dxfId="789" priority="68" stopIfTrue="1" operator="equal">
      <formula>2</formula>
    </cfRule>
    <cfRule type="cellIs" dxfId="788" priority="69" stopIfTrue="1" operator="equal">
      <formula>1</formula>
    </cfRule>
  </conditionalFormatting>
  <conditionalFormatting sqref="H7:AE7 I8:AE8 J9:AE9 K10:AE10 L11:AE11 M12:AE12 N13:AE13 O14:AE14 P15:AE15 Q16:AE16 R17:AE17 S18:AE18 T19:AE19 U20:AE20 V21:AE21 W22:AE22 X23:AE23 Y24:AE24 Z25:AE25 AA26:AE26 AB27:AE27 AC28:AE28 AD29:AE29 AE30">
    <cfRule type="expression" dxfId="787" priority="48">
      <formula>IF(H7="",IF(H7&lt;=0,TRUE))</formula>
    </cfRule>
    <cfRule type="expression" dxfId="786" priority="50">
      <formula>H7=INDIRECT(ADDRESS(ROW()+H$6-$F7,COLUMN()-H$6+$F7))</formula>
    </cfRule>
    <cfRule type="expression" dxfId="785" priority="58">
      <formula>H7&gt;INDIRECT(ADDRESS(ROW()+H$6-$F7,COLUMN()-H$6+$F7))</formula>
    </cfRule>
    <cfRule type="expression" dxfId="784" priority="63">
      <formula>NOT(NOT(ISBLANK(H7))+(H7=(INDIRECT(ADDRESS(ROW()+H$6-$F7,COLUMN()-H$6+$F7)))))</formula>
    </cfRule>
  </conditionalFormatting>
  <conditionalFormatting sqref="G8 G9:H9 G10:I10 G11:J11 G12:K12 G13:L13 G14:M14 G15:N15 G16:O16 G17:P17 G18:Q18 G19:R19 G20:S20 G21:T21 G22:U22 G23:V23 G24:W24 G25:X25 G26:Y26 G27:Z27 G28:AA28 G29:AB29 G30:AC30 G31:AD31">
    <cfRule type="expression" dxfId="783" priority="46">
      <formula>IF(G8="",IF(G8&lt;=0,TRUE))</formula>
    </cfRule>
    <cfRule type="expression" dxfId="782" priority="47">
      <formula>G8=INDIRECT(ADDRESS(ROW()-$F8+G$6,COLUMN()+$F8-G$6))</formula>
    </cfRule>
    <cfRule type="expression" dxfId="781" priority="60">
      <formula>G8&gt;INDIRECT(ADDRESS(ROW()-$F8+G$6,COLUMN()+$F8-G$6))</formula>
    </cfRule>
    <cfRule type="expression" dxfId="780" priority="65">
      <formula>NOT(NOT(ISBLANK(G8))+(G8=(INDIRECT(ADDRESS(ROW()-$F8+G$6,COLUMN()+$F8-G$6)))))</formula>
    </cfRule>
  </conditionalFormatting>
  <conditionalFormatting sqref="B7:B31 B53:B61">
    <cfRule type="expression" dxfId="779" priority="54">
      <formula>E7="k"</formula>
    </cfRule>
    <cfRule type="expression" dxfId="778" priority="55">
      <formula>C7="n"</formula>
    </cfRule>
    <cfRule type="expression" dxfId="777" priority="56">
      <formula>D7="j"</formula>
    </cfRule>
  </conditionalFormatting>
  <conditionalFormatting sqref="AG7:AG31">
    <cfRule type="expression" dxfId="776" priority="43">
      <formula>E7="k"</formula>
    </cfRule>
    <cfRule type="expression" dxfId="775" priority="44">
      <formula>D7="j"</formula>
    </cfRule>
    <cfRule type="expression" dxfId="774" priority="45">
      <formula>C7="n"</formula>
    </cfRule>
  </conditionalFormatting>
  <conditionalFormatting sqref="B37:B40">
    <cfRule type="expression" dxfId="773" priority="36">
      <formula>E37="k"</formula>
    </cfRule>
    <cfRule type="expression" dxfId="772" priority="37">
      <formula>C37="n"</formula>
    </cfRule>
    <cfRule type="expression" dxfId="771" priority="38">
      <formula>D37="j"</formula>
    </cfRule>
  </conditionalFormatting>
  <conditionalFormatting sqref="B45:B48">
    <cfRule type="expression" dxfId="770" priority="21">
      <formula>E45="k"</formula>
    </cfRule>
    <cfRule type="expression" dxfId="769" priority="22">
      <formula>C45="n"</formula>
    </cfRule>
    <cfRule type="expression" dxfId="768" priority="23">
      <formula>D45="j"</formula>
    </cfRule>
  </conditionalFormatting>
  <conditionalFormatting sqref="P53:P61">
    <cfRule type="cellIs" dxfId="767" priority="7" stopIfTrue="1" operator="equal">
      <formula>3</formula>
    </cfRule>
    <cfRule type="cellIs" dxfId="766" priority="8" stopIfTrue="1" operator="equal">
      <formula>2</formula>
    </cfRule>
    <cfRule type="cellIs" dxfId="765" priority="9" stopIfTrue="1" operator="equal">
      <formula>1</formula>
    </cfRule>
  </conditionalFormatting>
  <conditionalFormatting sqref="L37:L40">
    <cfRule type="cellIs" dxfId="764" priority="4" stopIfTrue="1" operator="equal">
      <formula>3</formula>
    </cfRule>
    <cfRule type="cellIs" dxfId="763" priority="5" stopIfTrue="1" operator="equal">
      <formula>2</formula>
    </cfRule>
    <cfRule type="cellIs" dxfId="762" priority="6" stopIfTrue="1" operator="equal">
      <formula>1</formula>
    </cfRule>
  </conditionalFormatting>
  <conditionalFormatting sqref="L45:L48">
    <cfRule type="cellIs" dxfId="761" priority="1" stopIfTrue="1" operator="equal">
      <formula>3</formula>
    </cfRule>
    <cfRule type="cellIs" dxfId="760" priority="2" stopIfTrue="1" operator="equal">
      <formula>2</formula>
    </cfRule>
    <cfRule type="cellIs" dxfId="759" priority="3" stopIfTrue="1" operator="equal">
      <formula>1</formula>
    </cfRule>
  </conditionalFormatting>
  <pageMargins left="0.31496062992125984" right="0.27559055118110237" top="0.59055118110236227" bottom="0.39370078740157483" header="0.39370078740157483" footer="0"/>
  <pageSetup paperSize="9" fitToHeight="0" orientation="landscape" horizontalDpi="1200" verticalDpi="1200" r:id="rId1"/>
  <headerFooter>
    <oddHeader>&amp;R&amp;9Page &amp;P of &amp;N</oddHeader>
  </headerFooter>
  <rowBreaks count="1" manualBreakCount="1">
    <brk id="3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pageSetUpPr fitToPage="1"/>
  </sheetPr>
  <dimension ref="A1:O199"/>
  <sheetViews>
    <sheetView showGridLines="0" showRowColHeaders="0" zoomScaleNormal="100" workbookViewId="0">
      <pane ySplit="2" topLeftCell="A3" activePane="bottomLeft" state="frozen"/>
      <selection activeCell="I1" sqref="I1"/>
      <selection pane="bottomLeft" activeCell="A5" sqref="A5"/>
    </sheetView>
  </sheetViews>
  <sheetFormatPr defaultRowHeight="12.75" x14ac:dyDescent="0.2"/>
  <cols>
    <col min="1" max="1" width="4.5703125" style="34" customWidth="1"/>
    <col min="2" max="2" width="19.42578125" style="34" bestFit="1" customWidth="1"/>
    <col min="3" max="3" width="4.5703125" style="34" bestFit="1" customWidth="1"/>
    <col min="4" max="11" width="9.7109375" style="34" customWidth="1"/>
    <col min="12" max="12" width="4.5703125" style="34" customWidth="1"/>
    <col min="13" max="13" width="9.140625" style="34"/>
    <col min="14" max="14" width="2.7109375" style="34" customWidth="1"/>
    <col min="15" max="15" width="19.42578125" style="34" customWidth="1"/>
    <col min="16" max="16384" width="9.140625" style="34"/>
  </cols>
  <sheetData>
    <row r="1" spans="1:11" x14ac:dyDescent="0.2">
      <c r="A1" s="31" t="str">
        <f>UPPER((Kalend!E20)&amp;" - "&amp;(Kalend!C20)&amp;" - "&amp;(Kalend!D20))</f>
        <v>MU - TOILA VALLA MV (17. MURUTURNIIR) - ÜKSIK</v>
      </c>
      <c r="G1" s="28" t="str">
        <f>HYPERLINK("#Kalend!I1","Kalender")</f>
        <v>Kalender</v>
      </c>
      <c r="H1" s="2"/>
      <c r="I1" s="2"/>
      <c r="J1" s="2"/>
      <c r="K1" s="2"/>
    </row>
    <row r="2" spans="1:11" x14ac:dyDescent="0.2">
      <c r="A2" s="2" t="str">
        <f>"Toimumisaeg: "&amp;(Kalend!A20)&amp;" kell "&amp;(Kalend!B20)</f>
        <v>Toimumisaeg: P, 17.06.2018 kell 11:00</v>
      </c>
    </row>
    <row r="3" spans="1:11" x14ac:dyDescent="0.2">
      <c r="A3" s="2" t="str">
        <f>"Toimumiskoht: "&amp;(Kalend!F20)</f>
        <v>Toimumiskoht: Voka staadion</v>
      </c>
    </row>
    <row r="4" spans="1:11" x14ac:dyDescent="0.2">
      <c r="A4" s="2" t="str">
        <f>"Korraldaja: "&amp;(Kalend!G20)</f>
        <v>Korraldaja: Toila vald, Johannes Neiland</v>
      </c>
      <c r="F4" s="703" t="s">
        <v>15</v>
      </c>
    </row>
    <row r="6" spans="1:11" x14ac:dyDescent="0.2">
      <c r="A6" s="705" t="s">
        <v>525</v>
      </c>
    </row>
    <row r="7" spans="1:11" x14ac:dyDescent="0.2">
      <c r="A7" s="704"/>
    </row>
    <row r="8" spans="1:11" x14ac:dyDescent="0.2">
      <c r="A8" s="706">
        <v>1</v>
      </c>
      <c r="B8" s="746" t="s">
        <v>119</v>
      </c>
      <c r="C8" s="575">
        <f>IF(B8="-",0,IF(B10="-",13,""))</f>
        <v>13</v>
      </c>
      <c r="D8" s="707"/>
    </row>
    <row r="9" spans="1:11" x14ac:dyDescent="0.2">
      <c r="A9" s="708"/>
      <c r="B9" s="709">
        <v>-101</v>
      </c>
      <c r="C9" s="560" t="str">
        <f>IF(COUNT(C8,C10)=2,IF(C8&gt;C10,B8,B10),"")</f>
        <v>Meelis Luud</v>
      </c>
      <c r="D9" s="710"/>
      <c r="E9" s="767" t="s">
        <v>562</v>
      </c>
    </row>
    <row r="10" spans="1:11" x14ac:dyDescent="0.2">
      <c r="A10" s="708">
        <v>32</v>
      </c>
      <c r="B10" s="760" t="s">
        <v>31</v>
      </c>
      <c r="C10" s="763">
        <f>IF(B10="-",0,IF(B8="-",13,""))</f>
        <v>0</v>
      </c>
      <c r="D10" s="738"/>
      <c r="E10" s="55"/>
    </row>
    <row r="11" spans="1:11" x14ac:dyDescent="0.2">
      <c r="A11" s="708"/>
      <c r="D11" s="711">
        <v>-117</v>
      </c>
      <c r="E11" s="560" t="s">
        <v>96</v>
      </c>
      <c r="F11" s="557">
        <v>8</v>
      </c>
    </row>
    <row r="12" spans="1:11" x14ac:dyDescent="0.2">
      <c r="A12" s="708">
        <v>17</v>
      </c>
      <c r="B12" s="746" t="s">
        <v>96</v>
      </c>
      <c r="C12" s="575">
        <v>13</v>
      </c>
      <c r="D12" s="713"/>
      <c r="E12" s="749"/>
    </row>
    <row r="13" spans="1:11" x14ac:dyDescent="0.2">
      <c r="A13" s="708"/>
      <c r="B13" s="709">
        <v>-102</v>
      </c>
      <c r="C13" s="560" t="str">
        <f>IF(COUNT(C12,C14)=2,IF(C12&gt;C14,B12,B14),"")</f>
        <v>Tõnu Piik</v>
      </c>
      <c r="D13" s="718"/>
      <c r="E13" s="770">
        <v>13</v>
      </c>
    </row>
    <row r="14" spans="1:11" x14ac:dyDescent="0.2">
      <c r="A14" s="708">
        <v>16</v>
      </c>
      <c r="B14" s="760" t="s">
        <v>208</v>
      </c>
      <c r="C14" s="562">
        <v>7</v>
      </c>
      <c r="D14" s="751"/>
      <c r="E14" s="716"/>
    </row>
    <row r="15" spans="1:11" x14ac:dyDescent="0.2">
      <c r="A15" s="717"/>
      <c r="C15" s="712"/>
      <c r="E15" s="711">
        <v>-141</v>
      </c>
      <c r="F15" s="560" t="str">
        <f>IF(COUNT(F11,F19)=2,IF(F11&gt;F19,E11,E19),"")</f>
        <v>Viktor Švarõgin</v>
      </c>
      <c r="G15" s="557">
        <v>13</v>
      </c>
    </row>
    <row r="16" spans="1:11" x14ac:dyDescent="0.2">
      <c r="A16" s="706">
        <v>9</v>
      </c>
      <c r="B16" s="746" t="s">
        <v>112</v>
      </c>
      <c r="C16" s="575">
        <f>IF(B16="-",0,IF(B18="-",13,""))</f>
        <v>13</v>
      </c>
      <c r="D16" s="707"/>
      <c r="E16" s="716"/>
      <c r="F16" s="714"/>
    </row>
    <row r="17" spans="1:8" x14ac:dyDescent="0.2">
      <c r="A17" s="708"/>
      <c r="B17" s="709">
        <v>-103</v>
      </c>
      <c r="C17" s="560" t="str">
        <f>IF(COUNT(C16,C18)=2,IF(C16&gt;C18,B16,B18),"")</f>
        <v>Viktor Švarõgin</v>
      </c>
      <c r="D17" s="710"/>
      <c r="E17" s="576">
        <v>13</v>
      </c>
      <c r="F17" s="716"/>
    </row>
    <row r="18" spans="1:8" x14ac:dyDescent="0.2">
      <c r="A18" s="708">
        <v>24</v>
      </c>
      <c r="B18" s="760" t="s">
        <v>31</v>
      </c>
      <c r="C18" s="763">
        <f>IF(B18="-",0,IF(B16="-",13,""))</f>
        <v>0</v>
      </c>
      <c r="D18" s="738"/>
      <c r="E18" s="564"/>
      <c r="F18" s="716"/>
    </row>
    <row r="19" spans="1:8" x14ac:dyDescent="0.2">
      <c r="A19" s="708"/>
      <c r="D19" s="711">
        <v>-118</v>
      </c>
      <c r="E19" s="748" t="str">
        <f>IF(COUNT(E17,E21)=2,IF(E17&gt;E21,C17,C21),"")</f>
        <v>Viktor Švarõgin</v>
      </c>
      <c r="F19" s="764">
        <v>13</v>
      </c>
    </row>
    <row r="20" spans="1:8" x14ac:dyDescent="0.2">
      <c r="A20" s="708">
        <v>25</v>
      </c>
      <c r="B20" s="746" t="s">
        <v>31</v>
      </c>
      <c r="C20" s="575">
        <f>IF(B20="-",0,IF(B22="-",13,""))</f>
        <v>0</v>
      </c>
      <c r="D20" s="715"/>
      <c r="E20" s="565"/>
      <c r="F20" s="716"/>
    </row>
    <row r="21" spans="1:8" x14ac:dyDescent="0.2">
      <c r="A21" s="708"/>
      <c r="B21" s="709">
        <v>-104</v>
      </c>
      <c r="C21" s="560" t="str">
        <f>IF(COUNT(C20,C22)=2,IF(C20&gt;C22,B20,B22),"")</f>
        <v>Ljudmila Varedi</v>
      </c>
      <c r="D21" s="718"/>
      <c r="E21" s="562">
        <v>8</v>
      </c>
      <c r="F21" s="716"/>
    </row>
    <row r="22" spans="1:8" x14ac:dyDescent="0.2">
      <c r="A22" s="708">
        <v>8</v>
      </c>
      <c r="B22" s="760" t="s">
        <v>560</v>
      </c>
      <c r="C22" s="562">
        <f>IF(B22="-",0,IF(B20="-",13,""))</f>
        <v>13</v>
      </c>
      <c r="D22" s="751"/>
      <c r="E22" s="712"/>
      <c r="F22" s="716"/>
    </row>
    <row r="23" spans="1:8" x14ac:dyDescent="0.2">
      <c r="C23" s="712"/>
      <c r="F23" s="711">
        <v>-157</v>
      </c>
      <c r="G23" s="560" t="str">
        <f>IF(COUNT(G15,G31)=2,IF(G15&gt;G31,F15,F31),"")</f>
        <v>Viktor Švarõgin</v>
      </c>
      <c r="H23" s="557">
        <v>6</v>
      </c>
    </row>
    <row r="24" spans="1:8" x14ac:dyDescent="0.2">
      <c r="A24" s="706">
        <v>5</v>
      </c>
      <c r="B24" s="746" t="s">
        <v>122</v>
      </c>
      <c r="C24" s="575">
        <f>IF(B24="-",0,IF(B26="-",13,""))</f>
        <v>13</v>
      </c>
      <c r="D24" s="707"/>
      <c r="F24" s="716"/>
      <c r="G24" s="714"/>
    </row>
    <row r="25" spans="1:8" x14ac:dyDescent="0.2">
      <c r="A25" s="708"/>
      <c r="B25" s="709">
        <v>-105</v>
      </c>
      <c r="C25" s="560" t="str">
        <f>IF(COUNT(C24,C26)=2,IF(C24&gt;C26,B24,B26),"")</f>
        <v>Tarmo Bombe</v>
      </c>
      <c r="D25" s="710"/>
      <c r="E25" s="768">
        <v>8</v>
      </c>
      <c r="F25" s="716"/>
      <c r="G25" s="716"/>
    </row>
    <row r="26" spans="1:8" x14ac:dyDescent="0.2">
      <c r="A26" s="708">
        <v>28</v>
      </c>
      <c r="B26" s="760" t="s">
        <v>31</v>
      </c>
      <c r="C26" s="763">
        <f>IF(B26="-",0,IF(B24="-",13,""))</f>
        <v>0</v>
      </c>
      <c r="D26" s="738"/>
      <c r="E26" s="55"/>
      <c r="F26" s="716"/>
      <c r="G26" s="716"/>
    </row>
    <row r="27" spans="1:8" x14ac:dyDescent="0.2">
      <c r="A27" s="708"/>
      <c r="D27" s="711">
        <v>-119</v>
      </c>
      <c r="E27" s="560" t="str">
        <f>IF(COUNT(E25,E29)=2,IF(E25&gt;E29,C25,C29),"")</f>
        <v>Urmas Jõeäär</v>
      </c>
      <c r="F27" s="576">
        <v>12</v>
      </c>
      <c r="G27" s="716"/>
    </row>
    <row r="28" spans="1:8" x14ac:dyDescent="0.2">
      <c r="A28" s="708">
        <v>21</v>
      </c>
      <c r="B28" s="746" t="s">
        <v>207</v>
      </c>
      <c r="C28" s="766">
        <v>12</v>
      </c>
      <c r="D28" s="715"/>
      <c r="E28" s="749"/>
      <c r="F28" s="716"/>
      <c r="G28" s="716"/>
    </row>
    <row r="29" spans="1:8" x14ac:dyDescent="0.2">
      <c r="A29" s="708"/>
      <c r="B29" s="709">
        <v>-106</v>
      </c>
      <c r="C29" s="560" t="str">
        <f>IF(COUNT(C28,C30)=2,IF(C28&gt;C30,B28,B30),"")</f>
        <v>Urmas Jõeäär</v>
      </c>
      <c r="D29" s="718"/>
      <c r="E29" s="576">
        <v>13</v>
      </c>
      <c r="F29" s="716"/>
      <c r="G29" s="716"/>
    </row>
    <row r="30" spans="1:8" x14ac:dyDescent="0.2">
      <c r="A30" s="708">
        <v>12</v>
      </c>
      <c r="B30" s="760" t="s">
        <v>523</v>
      </c>
      <c r="C30" s="562">
        <v>2</v>
      </c>
      <c r="D30" s="751"/>
      <c r="E30" s="716"/>
      <c r="F30" s="716"/>
      <c r="G30" s="716"/>
    </row>
    <row r="31" spans="1:8" x14ac:dyDescent="0.2">
      <c r="C31" s="712"/>
      <c r="E31" s="711">
        <v>-142</v>
      </c>
      <c r="F31" s="748" t="str">
        <f>IF(COUNT(F27,F35)=2,IF(F27&gt;F35,E27,E35),"")</f>
        <v>Karla Purgats</v>
      </c>
      <c r="G31" s="576">
        <v>6</v>
      </c>
    </row>
    <row r="32" spans="1:8" x14ac:dyDescent="0.2">
      <c r="A32" s="706">
        <v>13</v>
      </c>
      <c r="B32" s="746" t="s">
        <v>123</v>
      </c>
      <c r="C32" s="575">
        <v>6</v>
      </c>
      <c r="D32" s="707"/>
      <c r="E32" s="716"/>
      <c r="F32" s="733"/>
      <c r="G32" s="716"/>
    </row>
    <row r="33" spans="1:12" x14ac:dyDescent="0.2">
      <c r="A33" s="708"/>
      <c r="B33" s="709">
        <v>-107</v>
      </c>
      <c r="C33" s="560" t="str">
        <f>IF(COUNT(C32,C34)=2,IF(C32&gt;C34,B32,B34),"")</f>
        <v>Kenneth Muusikus</v>
      </c>
      <c r="D33" s="710"/>
      <c r="E33" s="576">
        <v>7</v>
      </c>
      <c r="F33" s="724"/>
      <c r="G33" s="716"/>
    </row>
    <row r="34" spans="1:12" x14ac:dyDescent="0.2">
      <c r="A34" s="708">
        <v>20</v>
      </c>
      <c r="B34" s="760" t="s">
        <v>209</v>
      </c>
      <c r="C34" s="763">
        <v>13</v>
      </c>
      <c r="D34" s="738"/>
      <c r="E34" s="564"/>
      <c r="F34" s="724"/>
      <c r="G34" s="716"/>
    </row>
    <row r="35" spans="1:12" x14ac:dyDescent="0.2">
      <c r="A35" s="708"/>
      <c r="D35" s="711">
        <v>-120</v>
      </c>
      <c r="E35" s="748" t="str">
        <f>IF(COUNT(E33,E37)=2,IF(E33&gt;E37,C33,C37),"")</f>
        <v>Karla Purgats</v>
      </c>
      <c r="F35" s="562">
        <v>13</v>
      </c>
      <c r="G35" s="716"/>
    </row>
    <row r="36" spans="1:12" x14ac:dyDescent="0.2">
      <c r="A36" s="708">
        <v>29</v>
      </c>
      <c r="B36" s="746" t="s">
        <v>31</v>
      </c>
      <c r="C36" s="575">
        <f>IF(B36="-",0,IF(B38="-",13,""))</f>
        <v>0</v>
      </c>
      <c r="D36" s="715"/>
      <c r="E36" s="565"/>
      <c r="G36" s="716"/>
    </row>
    <row r="37" spans="1:12" x14ac:dyDescent="0.2">
      <c r="A37" s="708"/>
      <c r="B37" s="709">
        <v>-108</v>
      </c>
      <c r="C37" s="560" t="str">
        <f>IF(COUNT(C36,C38)=2,IF(C36&gt;C38,B36,B38),"")</f>
        <v>Karla Purgats</v>
      </c>
      <c r="D37" s="718"/>
      <c r="E37" s="562">
        <v>13</v>
      </c>
      <c r="F37" s="712"/>
      <c r="G37" s="716"/>
    </row>
    <row r="38" spans="1:12" x14ac:dyDescent="0.2">
      <c r="A38" s="708">
        <v>4</v>
      </c>
      <c r="B38" s="760" t="s">
        <v>115</v>
      </c>
      <c r="C38" s="562">
        <f>IF(B38="-",0,IF(B36="-",13,""))</f>
        <v>13</v>
      </c>
      <c r="D38" s="751"/>
      <c r="E38" s="712"/>
      <c r="F38" s="712"/>
      <c r="G38" s="716"/>
    </row>
    <row r="39" spans="1:12" x14ac:dyDescent="0.2">
      <c r="A39" s="708"/>
      <c r="B39" s="712"/>
      <c r="C39" s="575"/>
      <c r="D39" s="719"/>
      <c r="E39" s="712"/>
      <c r="F39" s="712"/>
      <c r="G39" s="716"/>
    </row>
    <row r="40" spans="1:12" x14ac:dyDescent="0.2">
      <c r="B40" s="708"/>
      <c r="C40" s="708"/>
      <c r="D40" s="712"/>
      <c r="E40" s="719"/>
      <c r="F40" s="712"/>
      <c r="G40" s="711">
        <v>-177</v>
      </c>
      <c r="H40" s="560" t="str">
        <f>IF(COUNT(H23,H56)=2,IF(H23&gt;H56,G23,G56),"")</f>
        <v>Elmo Lageda</v>
      </c>
      <c r="I40" s="707"/>
      <c r="L40" s="774">
        <v>13</v>
      </c>
    </row>
    <row r="41" spans="1:12" x14ac:dyDescent="0.2">
      <c r="A41" s="717">
        <v>3</v>
      </c>
      <c r="B41" s="746" t="s">
        <v>522</v>
      </c>
      <c r="C41" s="575">
        <f>IF(B41="-",0,IF(B43="-",13,""))</f>
        <v>13</v>
      </c>
      <c r="D41" s="707"/>
      <c r="H41" s="733"/>
      <c r="I41" s="728"/>
      <c r="J41" s="728"/>
      <c r="K41" s="714"/>
    </row>
    <row r="42" spans="1:12" x14ac:dyDescent="0.2">
      <c r="A42" s="708"/>
      <c r="B42" s="709">
        <v>-109</v>
      </c>
      <c r="C42" s="560" t="str">
        <f>IF(COUNT(C41,C43)=2,IF(C41&gt;C43,B41,B43),"")</f>
        <v>Kermo Vinkler</v>
      </c>
      <c r="D42" s="710"/>
      <c r="E42" s="772">
        <v>13</v>
      </c>
      <c r="G42" s="720"/>
      <c r="H42" s="724"/>
      <c r="I42" s="712"/>
      <c r="J42" s="712"/>
      <c r="K42" s="716"/>
    </row>
    <row r="43" spans="1:12" x14ac:dyDescent="0.2">
      <c r="A43" s="708">
        <v>30</v>
      </c>
      <c r="B43" s="760" t="s">
        <v>31</v>
      </c>
      <c r="C43" s="763">
        <f>IF(B43="-",0,IF(B41="-",13,""))</f>
        <v>0</v>
      </c>
      <c r="D43" s="738"/>
      <c r="E43" s="55"/>
      <c r="G43" s="716"/>
      <c r="H43" s="724"/>
      <c r="I43" s="712"/>
      <c r="J43" s="712"/>
      <c r="K43" s="716"/>
    </row>
    <row r="44" spans="1:12" x14ac:dyDescent="0.2">
      <c r="A44" s="708"/>
      <c r="D44" s="711">
        <v>-121</v>
      </c>
      <c r="E44" s="560" t="s">
        <v>522</v>
      </c>
      <c r="F44" s="557">
        <v>5</v>
      </c>
      <c r="G44" s="716"/>
      <c r="K44" s="716"/>
    </row>
    <row r="45" spans="1:12" x14ac:dyDescent="0.2">
      <c r="A45" s="708">
        <v>19</v>
      </c>
      <c r="B45" s="746" t="s">
        <v>124</v>
      </c>
      <c r="C45" s="575">
        <v>13</v>
      </c>
      <c r="D45" s="715"/>
      <c r="E45" s="749"/>
      <c r="G45" s="716"/>
      <c r="K45" s="716"/>
    </row>
    <row r="46" spans="1:12" x14ac:dyDescent="0.2">
      <c r="A46" s="708"/>
      <c r="B46" s="709">
        <v>-110</v>
      </c>
      <c r="C46" s="560" t="str">
        <f>IF(COUNT(C45,C47)=2,IF(C45&gt;C47,B45,B47),"")</f>
        <v>Illar Tõnurist</v>
      </c>
      <c r="D46" s="718"/>
      <c r="E46" s="771" t="s">
        <v>562</v>
      </c>
      <c r="G46" s="716"/>
      <c r="K46" s="716"/>
    </row>
    <row r="47" spans="1:12" x14ac:dyDescent="0.2">
      <c r="A47" s="708">
        <v>14</v>
      </c>
      <c r="B47" s="760" t="s">
        <v>762</v>
      </c>
      <c r="C47" s="562">
        <v>6</v>
      </c>
      <c r="D47" s="751"/>
      <c r="E47" s="716"/>
      <c r="G47" s="716"/>
      <c r="K47" s="716"/>
    </row>
    <row r="48" spans="1:12" x14ac:dyDescent="0.2">
      <c r="A48" s="717"/>
      <c r="C48" s="712"/>
      <c r="E48" s="711">
        <v>-143</v>
      </c>
      <c r="F48" s="560" t="str">
        <f>IF(COUNT(F44,F52)=2,IF(F44&gt;F52,E44,E52),"")</f>
        <v>Elmo Lageda</v>
      </c>
      <c r="G48" s="576">
        <v>13</v>
      </c>
      <c r="K48" s="716"/>
    </row>
    <row r="49" spans="1:14" x14ac:dyDescent="0.2">
      <c r="A49" s="706">
        <v>11</v>
      </c>
      <c r="B49" s="746" t="s">
        <v>93</v>
      </c>
      <c r="C49" s="575">
        <v>8</v>
      </c>
      <c r="D49" s="707"/>
      <c r="E49" s="716"/>
      <c r="F49" s="714"/>
      <c r="G49" s="716"/>
      <c r="K49" s="716"/>
    </row>
    <row r="50" spans="1:14" x14ac:dyDescent="0.2">
      <c r="A50" s="708"/>
      <c r="B50" s="709">
        <v>-111</v>
      </c>
      <c r="C50" s="560" t="str">
        <f>IF(COUNT(C49,C51)=2,IF(C49&gt;C51,B49,B51),"")</f>
        <v>Elmo Lageda</v>
      </c>
      <c r="D50" s="710"/>
      <c r="E50" s="576">
        <v>13</v>
      </c>
      <c r="F50" s="716"/>
      <c r="G50" s="716"/>
      <c r="K50" s="716"/>
    </row>
    <row r="51" spans="1:14" x14ac:dyDescent="0.2">
      <c r="A51" s="708">
        <v>22</v>
      </c>
      <c r="B51" s="752" t="s">
        <v>99</v>
      </c>
      <c r="C51" s="763">
        <v>13</v>
      </c>
      <c r="D51" s="738"/>
      <c r="E51" s="564"/>
      <c r="F51" s="716"/>
      <c r="G51" s="716"/>
      <c r="K51" s="716"/>
    </row>
    <row r="52" spans="1:14" x14ac:dyDescent="0.2">
      <c r="A52" s="708"/>
      <c r="D52" s="711">
        <v>-122</v>
      </c>
      <c r="E52" s="748" t="str">
        <f>IF(COUNT(E50,E54)=2,IF(E50&gt;E54,C50,C54),"")</f>
        <v>Elmo Lageda</v>
      </c>
      <c r="F52" s="764">
        <v>13</v>
      </c>
      <c r="G52" s="716"/>
      <c r="K52" s="716"/>
    </row>
    <row r="53" spans="1:14" x14ac:dyDescent="0.2">
      <c r="A53" s="708">
        <v>27</v>
      </c>
      <c r="B53" s="746" t="s">
        <v>31</v>
      </c>
      <c r="C53" s="575">
        <f>IF(B53="-",0,IF(B55="-",13,""))</f>
        <v>0</v>
      </c>
      <c r="D53" s="715"/>
      <c r="E53" s="565"/>
      <c r="F53" s="716"/>
      <c r="G53" s="716"/>
      <c r="K53" s="716"/>
    </row>
    <row r="54" spans="1:14" x14ac:dyDescent="0.2">
      <c r="A54" s="708"/>
      <c r="B54" s="709">
        <v>-112</v>
      </c>
      <c r="C54" s="560" t="str">
        <f>IF(COUNT(C53,C55)=2,IF(C53&gt;C55,B53,B55),"")</f>
        <v>Johannes Neiland</v>
      </c>
      <c r="D54" s="718"/>
      <c r="E54" s="562">
        <v>2</v>
      </c>
      <c r="F54" s="716"/>
      <c r="G54" s="716"/>
      <c r="K54" s="716"/>
    </row>
    <row r="55" spans="1:14" x14ac:dyDescent="0.2">
      <c r="A55" s="708">
        <v>6</v>
      </c>
      <c r="B55" s="760" t="s">
        <v>114</v>
      </c>
      <c r="C55" s="562">
        <f>IF(B55="-",0,IF(B53="-",13,""))</f>
        <v>13</v>
      </c>
      <c r="D55" s="751"/>
      <c r="E55" s="712"/>
      <c r="F55" s="716"/>
      <c r="G55" s="716"/>
      <c r="K55" s="716"/>
    </row>
    <row r="56" spans="1:14" x14ac:dyDescent="0.2">
      <c r="C56" s="712"/>
      <c r="F56" s="711">
        <v>-158</v>
      </c>
      <c r="G56" s="748" t="str">
        <f>IF(COUNT(G48,G64)=2,IF(G48&gt;G64,F48,F64),"")</f>
        <v>Elmo Lageda</v>
      </c>
      <c r="H56" s="557">
        <v>13</v>
      </c>
      <c r="K56" s="716"/>
    </row>
    <row r="57" spans="1:14" x14ac:dyDescent="0.2">
      <c r="A57" s="706">
        <v>7</v>
      </c>
      <c r="B57" s="746" t="s">
        <v>125</v>
      </c>
      <c r="C57" s="575">
        <v>13</v>
      </c>
      <c r="D57" s="707"/>
      <c r="F57" s="712"/>
      <c r="G57" s="733"/>
      <c r="K57" s="715"/>
    </row>
    <row r="58" spans="1:14" x14ac:dyDescent="0.2">
      <c r="A58" s="708"/>
      <c r="B58" s="709">
        <v>-113</v>
      </c>
      <c r="C58" s="560" t="str">
        <f>IF(COUNT(C57,C59)=2,IF(C57&gt;C59,B57,B59),"")</f>
        <v>Henri Mitt</v>
      </c>
      <c r="D58" s="710"/>
      <c r="E58" s="768">
        <v>3</v>
      </c>
      <c r="F58" s="712"/>
      <c r="G58" s="724"/>
      <c r="K58" s="716"/>
    </row>
    <row r="59" spans="1:14" x14ac:dyDescent="0.2">
      <c r="A59" s="708">
        <v>26</v>
      </c>
      <c r="B59" s="760" t="s">
        <v>90</v>
      </c>
      <c r="C59" s="763">
        <v>11</v>
      </c>
      <c r="D59" s="738"/>
      <c r="E59" s="55"/>
      <c r="F59" s="712"/>
      <c r="G59" s="724"/>
      <c r="K59" s="716"/>
    </row>
    <row r="60" spans="1:14" x14ac:dyDescent="0.2">
      <c r="A60" s="708"/>
      <c r="D60" s="711">
        <v>-123</v>
      </c>
      <c r="E60" s="560" t="str">
        <f>IF(COUNT(E58,E62)=2,IF(E58&gt;E62,C58,C62),"")</f>
        <v>Oleg Rõndenkov</v>
      </c>
      <c r="F60" s="557">
        <v>13</v>
      </c>
      <c r="G60" s="724"/>
      <c r="K60" s="716"/>
    </row>
    <row r="61" spans="1:14" x14ac:dyDescent="0.2">
      <c r="A61" s="708">
        <v>23</v>
      </c>
      <c r="B61" s="746" t="s">
        <v>117</v>
      </c>
      <c r="C61" s="575">
        <v>4</v>
      </c>
      <c r="D61" s="715"/>
      <c r="E61" s="749"/>
      <c r="G61" s="724"/>
      <c r="K61" s="716"/>
    </row>
    <row r="62" spans="1:14" x14ac:dyDescent="0.2">
      <c r="A62" s="708"/>
      <c r="B62" s="709">
        <v>-114</v>
      </c>
      <c r="C62" s="560" t="str">
        <f>IF(COUNT(C61,C63)=2,IF(C61&gt;C63,B61,B63),"")</f>
        <v>Oleg Rõndenkov</v>
      </c>
      <c r="D62" s="718"/>
      <c r="E62" s="576">
        <v>13</v>
      </c>
      <c r="G62" s="724"/>
      <c r="K62" s="753" t="s">
        <v>536</v>
      </c>
      <c r="N62" s="707"/>
    </row>
    <row r="63" spans="1:14" x14ac:dyDescent="0.2">
      <c r="A63" s="708">
        <v>10</v>
      </c>
      <c r="B63" s="760" t="s">
        <v>109</v>
      </c>
      <c r="C63" s="562">
        <v>13</v>
      </c>
      <c r="D63" s="751"/>
      <c r="E63" s="716"/>
      <c r="G63" s="724"/>
      <c r="K63" s="716"/>
    </row>
    <row r="64" spans="1:14" x14ac:dyDescent="0.2">
      <c r="C64" s="712"/>
      <c r="E64" s="711">
        <v>-144</v>
      </c>
      <c r="F64" s="560" t="str">
        <f>IF(COUNT(F60,F68)=2,IF(F60&gt;F68,E60,E68),"")</f>
        <v>Oleg Rõndenkov</v>
      </c>
      <c r="G64" s="562">
        <v>12</v>
      </c>
      <c r="K64" s="716"/>
    </row>
    <row r="65" spans="1:15" x14ac:dyDescent="0.2">
      <c r="A65" s="706">
        <v>15</v>
      </c>
      <c r="B65" s="746" t="s">
        <v>126</v>
      </c>
      <c r="C65" s="575">
        <v>3</v>
      </c>
      <c r="D65" s="707"/>
      <c r="E65" s="716"/>
      <c r="F65" s="733"/>
      <c r="K65" s="778" t="s">
        <v>563</v>
      </c>
      <c r="L65" s="776" t="s">
        <v>99</v>
      </c>
      <c r="N65" s="557" t="str">
        <f>IF(L65="-",0,IF(M69="-",13,""))</f>
        <v/>
      </c>
    </row>
    <row r="66" spans="1:15" x14ac:dyDescent="0.2">
      <c r="A66" s="708"/>
      <c r="B66" s="709">
        <v>-115</v>
      </c>
      <c r="C66" s="560" t="str">
        <f>IF(COUNT(C65,C67)=2,IF(C65&gt;C67,B65,B67),"")</f>
        <v>Boriss Klubov</v>
      </c>
      <c r="D66" s="710"/>
      <c r="E66" s="576">
        <v>6</v>
      </c>
      <c r="F66" s="724"/>
      <c r="K66" s="754" t="s">
        <v>541</v>
      </c>
      <c r="L66" s="728"/>
      <c r="M66" s="714"/>
      <c r="N66" s="55"/>
    </row>
    <row r="67" spans="1:15" ht="13.5" thickBot="1" x14ac:dyDescent="0.25">
      <c r="A67" s="708">
        <v>18</v>
      </c>
      <c r="B67" s="760" t="s">
        <v>95</v>
      </c>
      <c r="C67" s="763">
        <v>13</v>
      </c>
      <c r="D67" s="738"/>
      <c r="E67" s="564"/>
      <c r="F67" s="724"/>
      <c r="K67" s="754" t="s">
        <v>542</v>
      </c>
      <c r="M67" s="778" t="s">
        <v>526</v>
      </c>
      <c r="N67" s="750"/>
      <c r="O67" s="723" t="str">
        <f>IF(N65="",L65,IF(COUNT(N65,N69)=2,IF(N65&gt;N69,L65,M69),""))</f>
        <v>Elmo Lageda</v>
      </c>
    </row>
    <row r="68" spans="1:15" x14ac:dyDescent="0.2">
      <c r="A68" s="708"/>
      <c r="D68" s="711">
        <v>-124</v>
      </c>
      <c r="E68" s="748" t="str">
        <f>IF(COUNT(E66,E70)=2,IF(E66&gt;E70,C66,C70),"")</f>
        <v>Ülo Piik</v>
      </c>
      <c r="F68" s="562">
        <v>9</v>
      </c>
      <c r="K68" s="754" t="s">
        <v>538</v>
      </c>
      <c r="M68" s="755"/>
      <c r="N68" s="568"/>
      <c r="O68" s="725" t="s">
        <v>383</v>
      </c>
    </row>
    <row r="69" spans="1:15" x14ac:dyDescent="0.2">
      <c r="A69" s="708">
        <v>31</v>
      </c>
      <c r="B69" s="746" t="s">
        <v>206</v>
      </c>
      <c r="C69" s="575">
        <v>8</v>
      </c>
      <c r="D69" s="715"/>
      <c r="E69" s="565"/>
      <c r="K69" s="716"/>
      <c r="L69" s="756">
        <v>146</v>
      </c>
      <c r="M69" s="777" t="s">
        <v>112</v>
      </c>
      <c r="N69" s="562" t="str">
        <f>IF(M69="-",0,IF(L65="-",13,""))</f>
        <v/>
      </c>
      <c r="O69" s="712"/>
    </row>
    <row r="70" spans="1:15" ht="13.5" thickBot="1" x14ac:dyDescent="0.25">
      <c r="A70" s="708"/>
      <c r="B70" s="709">
        <v>-116</v>
      </c>
      <c r="C70" s="560" t="str">
        <f>IF(COUNT(C69,C71)=2,IF(C69&gt;C71,B69,B71),"")</f>
        <v>Ülo Piik</v>
      </c>
      <c r="D70" s="718"/>
      <c r="E70" s="562">
        <v>13</v>
      </c>
      <c r="I70" s="727"/>
      <c r="K70" s="716"/>
      <c r="M70" s="758"/>
      <c r="O70" s="606" t="str">
        <f>IF(N69="",M69,IF(COUNT(N65,N69)=2,IF(N65&lt;N69,L65,M69),""))</f>
        <v>Viktor Švarõgin</v>
      </c>
    </row>
    <row r="71" spans="1:15" x14ac:dyDescent="0.2">
      <c r="A71" s="708">
        <v>2</v>
      </c>
      <c r="B71" s="760" t="s">
        <v>105</v>
      </c>
      <c r="C71" s="562">
        <v>13</v>
      </c>
      <c r="D71" s="751"/>
      <c r="E71" s="712"/>
      <c r="K71" s="716"/>
      <c r="N71" s="707"/>
      <c r="O71" s="717" t="s">
        <v>386</v>
      </c>
    </row>
    <row r="72" spans="1:15" x14ac:dyDescent="0.2">
      <c r="A72" s="708"/>
      <c r="B72" s="712"/>
      <c r="C72" s="575"/>
      <c r="D72" s="719"/>
      <c r="E72" s="712"/>
      <c r="K72" s="753" t="s">
        <v>536</v>
      </c>
      <c r="N72" s="707"/>
      <c r="O72" s="717"/>
    </row>
    <row r="73" spans="1:15" x14ac:dyDescent="0.2">
      <c r="A73" s="769" t="s">
        <v>527</v>
      </c>
      <c r="B73" s="712"/>
      <c r="C73" s="712"/>
      <c r="D73" s="719"/>
      <c r="E73" s="712"/>
      <c r="F73" s="712"/>
      <c r="H73" s="712"/>
      <c r="I73" s="717">
        <v>-177</v>
      </c>
      <c r="J73" s="34" t="str">
        <f>IF(COUNT(H23,H56)=2,IF(H23&lt;H56,G23,G56),"")</f>
        <v>Viktor Švarõgin</v>
      </c>
      <c r="K73" s="576">
        <v>13</v>
      </c>
    </row>
    <row r="74" spans="1:15" ht="13.5" thickBot="1" x14ac:dyDescent="0.25">
      <c r="B74" s="52"/>
      <c r="C74" s="52"/>
      <c r="D74" s="712"/>
      <c r="J74" s="714"/>
      <c r="K74" s="716"/>
      <c r="M74" s="708" t="s">
        <v>550</v>
      </c>
      <c r="O74" s="723" t="str">
        <f>IF(COUNT(K73,K87)=2,IF(K73&lt;K87,J73,J87),"")</f>
        <v>Ülo Piik</v>
      </c>
    </row>
    <row r="75" spans="1:15" x14ac:dyDescent="0.2">
      <c r="A75" s="708"/>
      <c r="B75" s="717"/>
      <c r="F75" s="712"/>
      <c r="G75" s="737">
        <v>-157</v>
      </c>
      <c r="H75" s="712" t="str">
        <f>IF(COUNT(G15,G31)=2,IF(G15&lt;G31,F15,F31),"")</f>
        <v>Karla Purgats</v>
      </c>
      <c r="I75" s="575">
        <v>2</v>
      </c>
      <c r="J75" s="716"/>
      <c r="K75" s="716"/>
      <c r="N75" s="765"/>
      <c r="O75" s="725" t="s">
        <v>388</v>
      </c>
    </row>
    <row r="76" spans="1:15" x14ac:dyDescent="0.2">
      <c r="E76" s="717">
        <v>-144</v>
      </c>
      <c r="F76" s="710" t="str">
        <f>IF(COUNT(F60,F68)=2,IF(F60&lt;F68,E60,E68),"")</f>
        <v>Ülo Piik</v>
      </c>
      <c r="G76" s="557">
        <v>13</v>
      </c>
      <c r="H76" s="738"/>
      <c r="I76" s="712"/>
      <c r="J76" s="716"/>
      <c r="K76" s="716"/>
      <c r="N76" s="712"/>
    </row>
    <row r="77" spans="1:15" ht="13.5" thickBot="1" x14ac:dyDescent="0.25">
      <c r="A77" s="708"/>
      <c r="B77" s="717"/>
      <c r="C77" s="717">
        <v>-120</v>
      </c>
      <c r="D77" s="710" t="str">
        <f>IF(COUNT(E33,E37)=2,IF(E33&lt;E37,C33,C37),"")</f>
        <v>Kenneth Muusikus</v>
      </c>
      <c r="E77" s="557">
        <v>13</v>
      </c>
      <c r="F77" s="714"/>
      <c r="G77" s="55"/>
      <c r="H77" s="716"/>
      <c r="I77" s="712"/>
      <c r="J77" s="716"/>
      <c r="K77" s="716"/>
      <c r="M77" s="708" t="s">
        <v>539</v>
      </c>
      <c r="N77" s="726"/>
      <c r="O77" s="723" t="str">
        <f>IF(COUNT(J79,J95)=2,IF(J79&lt;J95,I79,I95),"")</f>
        <v>Oleg Rõndenkov</v>
      </c>
    </row>
    <row r="78" spans="1:15" x14ac:dyDescent="0.2">
      <c r="A78" s="708">
        <v>-109</v>
      </c>
      <c r="B78" s="746" t="str">
        <f>IF(COUNT(C41,C43)=2,IF(C41&lt;C43,B41,B43),"")</f>
        <v>-</v>
      </c>
      <c r="C78" s="575">
        <f>IF(B78="-",0,IF(B80="-",13,""))</f>
        <v>0</v>
      </c>
      <c r="D78" s="759">
        <v>133</v>
      </c>
      <c r="E78" s="560" t="str">
        <f>IF(COUNT(E77,E79)=2,IF(E77&gt;E79,D77,C79),"")</f>
        <v>Kenneth Muusikus</v>
      </c>
      <c r="F78" s="575">
        <v>13</v>
      </c>
      <c r="G78" s="560" t="str">
        <f>IF(COUNT(G76,G80)=2,IF(G76&gt;G80,F76,F80),"")</f>
        <v>Ülo Piik</v>
      </c>
      <c r="H78" s="576">
        <v>13</v>
      </c>
      <c r="I78" s="712"/>
      <c r="J78" s="716"/>
      <c r="K78" s="716"/>
      <c r="O78" s="725" t="s">
        <v>389</v>
      </c>
    </row>
    <row r="79" spans="1:15" x14ac:dyDescent="0.2">
      <c r="A79" s="708"/>
      <c r="B79" s="731">
        <v>125</v>
      </c>
      <c r="C79" s="560" t="str">
        <f>IF(COUNT(C78,C80)=2,IF(C78&gt;C80,B78,B80),"")</f>
        <v>Peep Peenema</v>
      </c>
      <c r="D79" s="718"/>
      <c r="E79" s="747">
        <v>5</v>
      </c>
      <c r="F79" s="730">
        <v>163</v>
      </c>
      <c r="G79" s="749"/>
      <c r="H79" s="735" t="s">
        <v>528</v>
      </c>
      <c r="I79" s="560" t="str">
        <f>IF(COUNT(I75,I82)=2,IF(I75&gt;I82,H75,H82),"")</f>
        <v>Ülo Piik</v>
      </c>
      <c r="J79" s="576">
        <v>13</v>
      </c>
      <c r="K79" s="716"/>
    </row>
    <row r="80" spans="1:15" x14ac:dyDescent="0.2">
      <c r="A80" s="708">
        <v>-110</v>
      </c>
      <c r="B80" s="760" t="str">
        <f>IF(COUNT(C45,C47)=2,IF(C45&lt;C47,B45,B47),"")</f>
        <v>Peep Peenema</v>
      </c>
      <c r="C80" s="763">
        <f>IF(B80="-",0,IF(B78="-",13,""))</f>
        <v>13</v>
      </c>
      <c r="D80" s="751"/>
      <c r="E80" s="732">
        <v>149</v>
      </c>
      <c r="F80" s="748" t="str">
        <f>IF(COUNT(F78,F82)=2,IF(F78&gt;F82,E78,E82),"")</f>
        <v>Kenneth Muusikus</v>
      </c>
      <c r="G80" s="576">
        <v>6</v>
      </c>
      <c r="H80" s="716"/>
      <c r="I80" s="733"/>
      <c r="J80" s="761" t="s">
        <v>529</v>
      </c>
      <c r="K80" s="773" t="s">
        <v>112</v>
      </c>
      <c r="L80" s="767" t="s">
        <v>562</v>
      </c>
    </row>
    <row r="81" spans="1:15" x14ac:dyDescent="0.2">
      <c r="C81" s="717">
        <v>-119</v>
      </c>
      <c r="D81" s="746" t="str">
        <f>IF(COUNT(E25,E29)=2,IF(E25&lt;E29,C25,C29),"")</f>
        <v>Tarmo Bombe</v>
      </c>
      <c r="E81" s="576">
        <v>13</v>
      </c>
      <c r="G81" s="716"/>
      <c r="H81" s="716"/>
      <c r="I81" s="724"/>
      <c r="J81" s="654"/>
      <c r="K81" s="712"/>
    </row>
    <row r="82" spans="1:15" x14ac:dyDescent="0.2">
      <c r="A82" s="708">
        <v>-111</v>
      </c>
      <c r="B82" s="712" t="str">
        <f>IF(COUNT(C49,C51)=2,IF(C49&lt;C51,B49,B51),"")</f>
        <v>Jaan Sepp</v>
      </c>
      <c r="C82" s="575">
        <f>IF(B82="-",0,IF(B84="-",13,""))</f>
        <v>13</v>
      </c>
      <c r="D82" s="736">
        <v>134</v>
      </c>
      <c r="E82" s="748" t="str">
        <f>IF(COUNT(E81,E83)=2,IF(E81&gt;E83,D81,C83),"")</f>
        <v>Tarmo Bombe</v>
      </c>
      <c r="F82" s="575">
        <v>12</v>
      </c>
      <c r="G82" s="730">
        <v>173</v>
      </c>
      <c r="H82" s="748" t="str">
        <f>IF(COUNT(H78,H86)=2,IF(H78&gt;H86,G78,G86),"")</f>
        <v>Ülo Piik</v>
      </c>
      <c r="I82" s="576">
        <v>13</v>
      </c>
      <c r="J82" s="654"/>
      <c r="K82" s="712"/>
      <c r="L82" s="708" t="s">
        <v>528</v>
      </c>
      <c r="M82" s="34" t="str">
        <f>IF(COUNT(I75,I82)=2,IF(I75&lt;I82,H75,H82),"")</f>
        <v>Karla Purgats</v>
      </c>
      <c r="N82" s="557">
        <v>4</v>
      </c>
      <c r="O82" s="712"/>
    </row>
    <row r="83" spans="1:15" ht="13.5" thickBot="1" x14ac:dyDescent="0.25">
      <c r="A83" s="708"/>
      <c r="B83" s="731">
        <v>126</v>
      </c>
      <c r="C83" s="560" t="str">
        <f>IF(COUNT(C82,C84)=2,IF(C82&gt;C84,B82,B84),"")</f>
        <v>Jaan Sepp</v>
      </c>
      <c r="D83" s="718"/>
      <c r="E83" s="562">
        <v>3</v>
      </c>
      <c r="G83" s="716"/>
      <c r="H83" s="733"/>
      <c r="J83" s="654"/>
      <c r="K83" s="712"/>
      <c r="M83" s="714"/>
      <c r="N83" s="750"/>
      <c r="O83" s="726" t="str">
        <f>IF(COUNT(N82,N84)=2,IF(N82&gt;N84,M82,M84),"")</f>
        <v>Boriss Klubov</v>
      </c>
    </row>
    <row r="84" spans="1:15" x14ac:dyDescent="0.2">
      <c r="A84" s="708">
        <v>-112</v>
      </c>
      <c r="B84" s="710" t="str">
        <f>IF(COUNT(C53,C55)=2,IF(C53&lt;C55,B53,B55),"")</f>
        <v>-</v>
      </c>
      <c r="C84" s="763">
        <f>IF(B84="-",0,IF(B82="-",13,""))</f>
        <v>0</v>
      </c>
      <c r="D84" s="751"/>
      <c r="E84" s="52">
        <v>-143</v>
      </c>
      <c r="F84" s="707" t="str">
        <f>IF(COUNT(F44,F52)=2,IF(F44&lt;F52,E44,E52),"")</f>
        <v>Kermo Vinkler</v>
      </c>
      <c r="G84" s="576">
        <v>7</v>
      </c>
      <c r="H84" s="724"/>
      <c r="I84" s="716"/>
      <c r="J84" s="654"/>
      <c r="K84" s="712"/>
      <c r="L84" s="708" t="s">
        <v>530</v>
      </c>
      <c r="M84" s="718" t="str">
        <f>IF(COUNT(I91,I98)=2,IF(I91&lt;I98,H91,H98),"")</f>
        <v>Boriss Klubov</v>
      </c>
      <c r="N84" s="577">
        <v>13</v>
      </c>
      <c r="O84" s="737" t="s">
        <v>390</v>
      </c>
    </row>
    <row r="85" spans="1:15" x14ac:dyDescent="0.2">
      <c r="A85" s="708"/>
      <c r="B85" s="712"/>
      <c r="C85" s="717">
        <v>-118</v>
      </c>
      <c r="D85" s="34" t="str">
        <f>IF(COUNT(E17,E21)=2,IF(E17&lt;E21,C17,C21),"")</f>
        <v>Ljudmila Varedi</v>
      </c>
      <c r="E85" s="557">
        <v>5</v>
      </c>
      <c r="F85" s="714"/>
      <c r="G85" s="564"/>
      <c r="H85" s="724"/>
      <c r="I85" s="716"/>
      <c r="J85" s="654"/>
      <c r="K85" s="712"/>
      <c r="O85" s="712"/>
    </row>
    <row r="86" spans="1:15" ht="13.5" thickBot="1" x14ac:dyDescent="0.25">
      <c r="A86" s="708">
        <v>-113</v>
      </c>
      <c r="B86" s="34" t="str">
        <f>IF(COUNT(C57,C59)=2,IF(C57&lt;C59,B57,B59),"")</f>
        <v>Janek Tarto</v>
      </c>
      <c r="C86" s="575">
        <v>13</v>
      </c>
      <c r="D86" s="759">
        <v>135</v>
      </c>
      <c r="E86" s="560" t="str">
        <f>IF(COUNT(E85,E87)=2,IF(E85&gt;E87,D85,C87),"")</f>
        <v>Janek Tarto</v>
      </c>
      <c r="F86" s="575">
        <v>9</v>
      </c>
      <c r="G86" s="748" t="str">
        <f>IF(COUNT(G84,G88)=2,IF(G84&gt;G88,F84,F88),"")</f>
        <v>Meelis Luud</v>
      </c>
      <c r="H86" s="562">
        <v>10</v>
      </c>
      <c r="I86" s="716"/>
      <c r="J86" s="734"/>
      <c r="K86" s="712"/>
      <c r="M86" s="712"/>
      <c r="O86" s="567" t="str">
        <f>IF(COUNT(N82,N84)=2,IF(N82&lt;N84,M82,M84),"")</f>
        <v>Karla Purgats</v>
      </c>
    </row>
    <row r="87" spans="1:15" x14ac:dyDescent="0.2">
      <c r="A87" s="708"/>
      <c r="B87" s="731">
        <v>127</v>
      </c>
      <c r="C87" s="560" t="str">
        <f>IF(COUNT(C86,C88)=2,IF(C86&gt;C88,B86,B88),"")</f>
        <v>Janek Tarto</v>
      </c>
      <c r="D87" s="718"/>
      <c r="E87" s="747">
        <v>13</v>
      </c>
      <c r="F87" s="730">
        <v>164</v>
      </c>
      <c r="G87" s="565"/>
      <c r="H87" s="712"/>
      <c r="I87" s="735" t="s">
        <v>539</v>
      </c>
      <c r="J87" s="748" t="str">
        <f>IF(COUNT(J79,J95)=2,IF(J79&gt;J95,I79,I95),"")</f>
        <v>Ülo Piik</v>
      </c>
      <c r="K87" s="562">
        <v>7</v>
      </c>
      <c r="N87" s="712"/>
      <c r="O87" s="737" t="s">
        <v>391</v>
      </c>
    </row>
    <row r="88" spans="1:15" x14ac:dyDescent="0.2">
      <c r="A88" s="708">
        <v>-114</v>
      </c>
      <c r="B88" s="710" t="str">
        <f>IF(COUNT(C61,C63)=2,IF(C61&lt;C63,B61,B63),"")</f>
        <v>Enn Tokman</v>
      </c>
      <c r="C88" s="763">
        <v>5</v>
      </c>
      <c r="D88" s="751"/>
      <c r="E88" s="732">
        <v>150</v>
      </c>
      <c r="F88" s="748" t="str">
        <f>IF(COUNT(F86,F90)=2,IF(F86&gt;F90,E86,E90),"")</f>
        <v>Meelis Luud</v>
      </c>
      <c r="G88" s="557">
        <v>13</v>
      </c>
      <c r="H88" s="712"/>
      <c r="I88" s="716"/>
      <c r="J88" s="724"/>
      <c r="K88" s="712"/>
      <c r="N88" s="712"/>
      <c r="O88" s="737"/>
    </row>
    <row r="89" spans="1:15" x14ac:dyDescent="0.2">
      <c r="A89" s="708"/>
      <c r="B89" s="717"/>
      <c r="C89" s="717">
        <v>-117</v>
      </c>
      <c r="D89" s="712" t="s">
        <v>119</v>
      </c>
      <c r="E89" s="576">
        <v>13</v>
      </c>
      <c r="F89" s="707"/>
      <c r="G89" s="712"/>
      <c r="H89" s="712"/>
      <c r="I89" s="715"/>
      <c r="J89" s="724"/>
      <c r="K89" s="712"/>
      <c r="L89" s="717">
        <v>173</v>
      </c>
      <c r="M89" s="34" t="str">
        <f>IF(COUNT(H78,H86)=2,IF(H78&lt;H86,G78,G86),"")</f>
        <v>Meelis Luud</v>
      </c>
      <c r="N89" s="557">
        <v>5</v>
      </c>
      <c r="O89" s="712"/>
    </row>
    <row r="90" spans="1:15" ht="13.5" thickBot="1" x14ac:dyDescent="0.25">
      <c r="A90" s="708">
        <v>-115</v>
      </c>
      <c r="B90" s="712" t="str">
        <f>IF(COUNT(C65,C67)=2,IF(C65&lt;C67,B65,B67),"")</f>
        <v>Oksana Sažina</v>
      </c>
      <c r="C90" s="575">
        <v>6</v>
      </c>
      <c r="D90" s="759">
        <v>136</v>
      </c>
      <c r="E90" s="748" t="str">
        <f>IF(COUNT(E89,E91)=2,IF(E89&gt;E91,D89,C91),"")</f>
        <v>Meelis Luud</v>
      </c>
      <c r="F90" s="575">
        <v>13</v>
      </c>
      <c r="I90" s="716"/>
      <c r="J90" s="724"/>
      <c r="K90" s="712"/>
      <c r="M90" s="714"/>
      <c r="N90" s="750"/>
      <c r="O90" s="726" t="str">
        <f>IF(COUNT(N89,N91)=2,IF(N89&gt;N91,M89,M91),"")</f>
        <v>Johannes Neiland</v>
      </c>
    </row>
    <row r="91" spans="1:15" x14ac:dyDescent="0.2">
      <c r="A91" s="708"/>
      <c r="B91" s="731">
        <v>128</v>
      </c>
      <c r="C91" s="560" t="str">
        <f>IF(COUNT(C90,C92)=2,IF(C90&gt;C92,B90,B92),"")</f>
        <v>Romek Tarto</v>
      </c>
      <c r="D91" s="718"/>
      <c r="E91" s="562">
        <v>6</v>
      </c>
      <c r="G91" s="737">
        <v>-158</v>
      </c>
      <c r="H91" s="710" t="str">
        <f>IF(COUNT(G48,G64)=2,IF(G48&lt;G64,F48,F64),"")</f>
        <v>Oleg Rõndenkov</v>
      </c>
      <c r="I91" s="575">
        <v>13</v>
      </c>
      <c r="J91" s="724"/>
      <c r="K91" s="712"/>
      <c r="L91" s="717">
        <v>174</v>
      </c>
      <c r="M91" s="718" t="str">
        <f>IF(COUNT(H94,H102)=2,IF(H94&lt;H102,G94,G102),"")</f>
        <v>Johannes Neiland</v>
      </c>
      <c r="N91" s="577">
        <v>13</v>
      </c>
      <c r="O91" s="737" t="s">
        <v>392</v>
      </c>
    </row>
    <row r="92" spans="1:15" x14ac:dyDescent="0.2">
      <c r="A92" s="717">
        <v>-116</v>
      </c>
      <c r="B92" s="710" t="str">
        <f>IF(COUNT(C69,C71)=2,IF(C69&lt;C71,B69,B71),"")</f>
        <v>Romek Tarto</v>
      </c>
      <c r="C92" s="763">
        <v>13</v>
      </c>
      <c r="D92" s="751"/>
      <c r="E92" s="52">
        <v>-142</v>
      </c>
      <c r="F92" s="707" t="str">
        <f>IF(COUNT(F27,F35)=2,IF(F27&lt;F35,E27,E35),"")</f>
        <v>Urmas Jõeäär</v>
      </c>
      <c r="G92" s="557">
        <v>6</v>
      </c>
      <c r="H92" s="714"/>
      <c r="I92" s="712"/>
      <c r="J92" s="724"/>
      <c r="K92" s="712"/>
      <c r="O92" s="712"/>
    </row>
    <row r="93" spans="1:15" ht="13.5" thickBot="1" x14ac:dyDescent="0.25">
      <c r="A93" s="708"/>
      <c r="C93" s="717">
        <v>-124</v>
      </c>
      <c r="D93" s="34" t="str">
        <f>IF(COUNT(E66,E70)=2,IF(E66&lt;E70,C66,C70),"")</f>
        <v>Boriss Klubov</v>
      </c>
      <c r="E93" s="557">
        <v>13</v>
      </c>
      <c r="F93" s="714"/>
      <c r="G93" s="55"/>
      <c r="H93" s="715"/>
      <c r="I93" s="712"/>
      <c r="J93" s="724"/>
      <c r="K93" s="712"/>
      <c r="O93" s="567" t="str">
        <f>IF(COUNT(N89,N91)=2,IF(N89&lt;N91,M89,M91),"")</f>
        <v>Meelis Luud</v>
      </c>
    </row>
    <row r="94" spans="1:15" x14ac:dyDescent="0.2">
      <c r="A94" s="708">
        <v>-101</v>
      </c>
      <c r="B94" s="34" t="str">
        <f>IF(COUNT(C8,C10)=2,IF(C8&lt;C10,B8,B10),"")</f>
        <v>-</v>
      </c>
      <c r="C94" s="575">
        <f>IF(B94="-",0,IF(B96="-",13,""))</f>
        <v>0</v>
      </c>
      <c r="D94" s="759">
        <v>137</v>
      </c>
      <c r="E94" s="560" t="str">
        <f>IF(COUNT(E93,E95)=2,IF(E93&gt;E95,D93,C95),"")</f>
        <v>Boriss Klubov</v>
      </c>
      <c r="F94" s="575">
        <v>13</v>
      </c>
      <c r="G94" s="560" t="str">
        <f>IF(COUNT(G92,G96)=2,IF(G92&gt;G96,F92,F96),"")</f>
        <v>Boriss Klubov</v>
      </c>
      <c r="H94" s="576">
        <v>13</v>
      </c>
      <c r="I94" s="712"/>
      <c r="J94" s="724"/>
      <c r="K94" s="719"/>
      <c r="N94" s="712"/>
      <c r="O94" s="737" t="s">
        <v>393</v>
      </c>
    </row>
    <row r="95" spans="1:15" x14ac:dyDescent="0.2">
      <c r="A95" s="708"/>
      <c r="B95" s="731">
        <v>129</v>
      </c>
      <c r="C95" s="560" t="str">
        <f>IF(COUNT(C94,C96)=2,IF(C94&gt;C96,B94,B96),"")</f>
        <v>Jaan Saar</v>
      </c>
      <c r="D95" s="718"/>
      <c r="E95" s="747">
        <v>4</v>
      </c>
      <c r="F95" s="730">
        <v>165</v>
      </c>
      <c r="G95" s="749"/>
      <c r="H95" s="735" t="s">
        <v>530</v>
      </c>
      <c r="I95" s="560" t="str">
        <f>IF(COUNT(I91,I98)=2,IF(I91&gt;I98,H91,H98),"")</f>
        <v>Oleg Rõndenkov</v>
      </c>
      <c r="J95" s="562">
        <v>12</v>
      </c>
    </row>
    <row r="96" spans="1:15" x14ac:dyDescent="0.2">
      <c r="A96" s="708">
        <v>-102</v>
      </c>
      <c r="B96" s="710" t="str">
        <f>IF(COUNT(C12,C14)=2,IF(C12&lt;C14,B12,B14),"")</f>
        <v>Jaan Saar</v>
      </c>
      <c r="C96" s="763">
        <f>IF(B96="-",0,IF(B94="-",13,""))</f>
        <v>13</v>
      </c>
      <c r="D96" s="762"/>
      <c r="E96" s="732">
        <v>151</v>
      </c>
      <c r="F96" s="748" t="str">
        <f>IF(COUNT(F94,F98)=2,IF(F94&gt;F98,E94,E98),"")</f>
        <v>Boriss Klubov</v>
      </c>
      <c r="G96" s="576">
        <v>13</v>
      </c>
      <c r="H96" s="716"/>
      <c r="I96" s="733"/>
    </row>
    <row r="97" spans="1:15" x14ac:dyDescent="0.2">
      <c r="C97" s="717">
        <v>-123</v>
      </c>
      <c r="D97" s="710" t="str">
        <f>IF(COUNT(E58,E62)=2,IF(E58&lt;E62,C58,C62),"")</f>
        <v>Henri Mitt</v>
      </c>
      <c r="E97" s="576">
        <f>IF(D97="-",0,IF(C99="-",13,""))</f>
        <v>13</v>
      </c>
      <c r="F97" s="707"/>
      <c r="G97" s="716"/>
      <c r="H97" s="716"/>
      <c r="I97" s="724"/>
      <c r="J97" s="706">
        <v>163</v>
      </c>
      <c r="K97" s="34" t="str">
        <f>IF(COUNT(G76,G80)=2,IF(G76&lt;G80,F76,F80),"")</f>
        <v>Kenneth Muusikus</v>
      </c>
      <c r="L97" s="575">
        <v>13</v>
      </c>
      <c r="M97" s="707"/>
    </row>
    <row r="98" spans="1:15" x14ac:dyDescent="0.2">
      <c r="A98" s="708">
        <v>-103</v>
      </c>
      <c r="B98" s="712" t="str">
        <f>IF(COUNT(C16,C18)=2,IF(C16&lt;C18,B16,B18),"")</f>
        <v>-</v>
      </c>
      <c r="C98" s="575">
        <f>IF(B98="-",0,IF(B100="-",13,""))</f>
        <v>0</v>
      </c>
      <c r="D98" s="730">
        <v>138</v>
      </c>
      <c r="E98" s="748" t="str">
        <f>IF(COUNT(E97,E99)=2,IF(E97&gt;E99,D97,C99),"")</f>
        <v>Henri Mitt</v>
      </c>
      <c r="F98" s="575">
        <v>6</v>
      </c>
      <c r="G98" s="730">
        <v>174</v>
      </c>
      <c r="H98" s="748" t="str">
        <f>IF(COUNT(H94,H102)=2,IF(H94&gt;H102,G94,G102),"")</f>
        <v>Boriss Klubov</v>
      </c>
      <c r="I98" s="562">
        <v>10</v>
      </c>
      <c r="J98" s="708"/>
      <c r="K98" s="739" t="s">
        <v>140</v>
      </c>
      <c r="L98" s="560" t="str">
        <f>IF(COUNT(L97,L99)=2,IF(L97&gt;L99,K97,K99),"")</f>
        <v>Kenneth Muusikus</v>
      </c>
      <c r="M98" s="710"/>
      <c r="N98" s="557">
        <v>10</v>
      </c>
    </row>
    <row r="99" spans="1:15" x14ac:dyDescent="0.2">
      <c r="A99" s="708"/>
      <c r="B99" s="731">
        <v>130</v>
      </c>
      <c r="C99" s="560" t="str">
        <f>IF(COUNT(C98,C100)=2,IF(C98&gt;C100,B98,B100),"")</f>
        <v>-</v>
      </c>
      <c r="D99" s="718"/>
      <c r="E99" s="562">
        <f>IF(C99="-",0,IF(D97="-",13,""))</f>
        <v>0</v>
      </c>
      <c r="H99" s="733"/>
      <c r="I99" s="712"/>
      <c r="J99" s="708">
        <v>164</v>
      </c>
      <c r="K99" s="718" t="str">
        <f>IF(COUNT(G84,G88)=2,IF(G84&lt;G88,F84,F88),"")</f>
        <v>Kermo Vinkler</v>
      </c>
      <c r="L99" s="763">
        <v>7</v>
      </c>
      <c r="M99" s="738"/>
      <c r="N99" s="55"/>
    </row>
    <row r="100" spans="1:15" ht="13.5" thickBot="1" x14ac:dyDescent="0.25">
      <c r="A100" s="708">
        <v>-104</v>
      </c>
      <c r="B100" s="710" t="str">
        <f>IF(COUNT(C20,C22)=2,IF(C20&lt;C22,B20,B22),"")</f>
        <v>-</v>
      </c>
      <c r="C100" s="763">
        <f>IF(B100="-",0,IF(B98="-",13,""))</f>
        <v>0</v>
      </c>
      <c r="D100" s="751"/>
      <c r="E100" s="52">
        <v>-141</v>
      </c>
      <c r="F100" s="707" t="str">
        <f>IF(COUNT(F11,F19)=2,IF(F11&lt;F19,E11,E19),"")</f>
        <v>Tõnu Piik</v>
      </c>
      <c r="G100" s="576">
        <v>10</v>
      </c>
      <c r="H100" s="724"/>
      <c r="I100" s="712"/>
      <c r="J100" s="708"/>
      <c r="L100" s="712"/>
      <c r="M100" s="716"/>
      <c r="N100" s="750"/>
      <c r="O100" s="723" t="str">
        <f>IF(COUNT(N98,N102)=2,IF(N98&gt;N102,L98,L102),"")</f>
        <v>Urmas Jõeäär</v>
      </c>
    </row>
    <row r="101" spans="1:15" x14ac:dyDescent="0.2">
      <c r="A101" s="708"/>
      <c r="B101" s="712"/>
      <c r="C101" s="717">
        <v>-122</v>
      </c>
      <c r="D101" s="34" t="str">
        <f>IF(COUNT(E50,E54)=2,IF(E50&lt;E54,C50,C54),"")</f>
        <v>Johannes Neiland</v>
      </c>
      <c r="E101" s="557">
        <v>13</v>
      </c>
      <c r="F101" s="738"/>
      <c r="G101" s="564"/>
      <c r="H101" s="724"/>
      <c r="I101" s="712"/>
      <c r="J101" s="708">
        <v>165</v>
      </c>
      <c r="K101" s="34" t="str">
        <f>IF(COUNT(G92,G96)=2,IF(G92&lt;G96,F92,F96),"")</f>
        <v>Urmas Jõeäär</v>
      </c>
      <c r="L101" s="575">
        <v>13</v>
      </c>
      <c r="M101" s="715"/>
      <c r="N101" s="568"/>
      <c r="O101" s="725" t="s">
        <v>399</v>
      </c>
    </row>
    <row r="102" spans="1:15" x14ac:dyDescent="0.2">
      <c r="A102" s="708">
        <v>-105</v>
      </c>
      <c r="B102" s="34" t="str">
        <f>IF(COUNT(C24,C26)=2,IF(C24&lt;C26,B24,B26),"")</f>
        <v>-</v>
      </c>
      <c r="C102" s="575">
        <f>IF(B102="-",0,IF(B104="-",13,""))</f>
        <v>0</v>
      </c>
      <c r="D102" s="759">
        <v>139</v>
      </c>
      <c r="E102" s="560" t="str">
        <f>IF(COUNT(E101,E103)=2,IF(E101&gt;E103,D101,C103),"")</f>
        <v>Johannes Neiland</v>
      </c>
      <c r="F102" s="575">
        <v>13</v>
      </c>
      <c r="G102" s="748" t="str">
        <f>IF(COUNT(G100,G104)=2,IF(G100&gt;G104,F100,F104),"")</f>
        <v>Johannes Neiland</v>
      </c>
      <c r="H102" s="562">
        <v>7</v>
      </c>
      <c r="I102" s="712"/>
      <c r="J102" s="708"/>
      <c r="K102" s="739" t="s">
        <v>141</v>
      </c>
      <c r="L102" s="560" t="str">
        <f>IF(COUNT(L101,L103)=2,IF(L101&gt;L103,K101,K103),"")</f>
        <v>Urmas Jõeäär</v>
      </c>
      <c r="M102" s="718"/>
      <c r="N102" s="562">
        <v>13</v>
      </c>
    </row>
    <row r="103" spans="1:15" ht="13.5" thickBot="1" x14ac:dyDescent="0.25">
      <c r="A103" s="708"/>
      <c r="B103" s="731">
        <v>131</v>
      </c>
      <c r="C103" s="560" t="str">
        <f>IF(COUNT(C102,C104)=2,IF(C102&gt;C104,B102,B104),"")</f>
        <v>Henry Vinkler</v>
      </c>
      <c r="D103" s="718"/>
      <c r="E103" s="747">
        <v>4</v>
      </c>
      <c r="F103" s="730">
        <v>166</v>
      </c>
      <c r="G103" s="565"/>
      <c r="H103" s="712"/>
      <c r="I103" s="712"/>
      <c r="J103" s="708">
        <v>166</v>
      </c>
      <c r="K103" s="718" t="str">
        <f>IF(COUNT(G100,G104)=2,IF(G100&lt;G104,F100,F104),"")</f>
        <v>Tõnu Piik</v>
      </c>
      <c r="L103" s="763">
        <v>11</v>
      </c>
      <c r="M103" s="707"/>
      <c r="N103" s="712"/>
      <c r="O103" s="567" t="str">
        <f>IF(COUNT(N98,N102)=2,IF(N98&lt;N102,L98,L102),"")</f>
        <v>Kenneth Muusikus</v>
      </c>
    </row>
    <row r="104" spans="1:15" x14ac:dyDescent="0.2">
      <c r="A104" s="708">
        <v>-106</v>
      </c>
      <c r="B104" s="710" t="str">
        <f>IF(COUNT(C28,C30)=2,IF(C28&lt;C30,B28,B30),"")</f>
        <v>Henry Vinkler</v>
      </c>
      <c r="C104" s="763">
        <f>IF(B104="-",0,IF(B102="-",13,""))</f>
        <v>13</v>
      </c>
      <c r="D104" s="751"/>
      <c r="E104" s="732">
        <v>152</v>
      </c>
      <c r="F104" s="748" t="str">
        <f>IF(COUNT(F102,F106)=2,IF(F102&gt;F106,E102,E106),"")</f>
        <v>Johannes Neiland</v>
      </c>
      <c r="G104" s="557">
        <v>13</v>
      </c>
      <c r="H104" s="712"/>
      <c r="J104" s="712"/>
      <c r="N104" s="712"/>
      <c r="O104" s="725" t="s">
        <v>402</v>
      </c>
    </row>
    <row r="105" spans="1:15" x14ac:dyDescent="0.2">
      <c r="A105" s="708"/>
      <c r="B105" s="712"/>
      <c r="C105" s="717">
        <v>-121</v>
      </c>
      <c r="D105" s="710" t="s">
        <v>124</v>
      </c>
      <c r="E105" s="576">
        <v>13</v>
      </c>
      <c r="F105" s="707"/>
      <c r="G105" s="719"/>
      <c r="H105" s="712"/>
      <c r="J105" s="712"/>
      <c r="L105" s="708" t="s">
        <v>140</v>
      </c>
      <c r="M105" s="34" t="str">
        <f>IF(COUNT(L97,L99)=2,IF(L97&lt;L99,K97,K99),"")</f>
        <v>Kermo Vinkler</v>
      </c>
      <c r="N105" s="557">
        <v>1</v>
      </c>
      <c r="O105" s="712"/>
    </row>
    <row r="106" spans="1:15" ht="13.5" thickBot="1" x14ac:dyDescent="0.25">
      <c r="A106" s="708">
        <v>-107</v>
      </c>
      <c r="B106" s="712" t="str">
        <f>IF(COUNT(C32,C34)=2,IF(C32&lt;C34,B32,B34),"")</f>
        <v>Väino Aul</v>
      </c>
      <c r="C106" s="575">
        <f>IF(B106="-",0,IF(B108="-",13,""))</f>
        <v>13</v>
      </c>
      <c r="D106" s="730">
        <v>140</v>
      </c>
      <c r="E106" s="748" t="str">
        <f>IF(COUNT(E105,E107)=2,IF(E105&gt;E107,D105,C107),"")</f>
        <v>Illar Tõnurist</v>
      </c>
      <c r="F106" s="575">
        <v>10</v>
      </c>
      <c r="G106" s="737"/>
      <c r="H106" s="712"/>
      <c r="I106" s="707"/>
      <c r="J106" s="712"/>
      <c r="M106" s="714"/>
      <c r="N106" s="750"/>
      <c r="O106" s="726" t="str">
        <f>IF(COUNT(N105,N107)=2,IF(N105&gt;N107,M105,M107),"")</f>
        <v>Tõnu Piik</v>
      </c>
    </row>
    <row r="107" spans="1:15" x14ac:dyDescent="0.2">
      <c r="A107" s="708"/>
      <c r="B107" s="731">
        <v>132</v>
      </c>
      <c r="C107" s="560" t="str">
        <f>IF(COUNT(C106,C108)=2,IF(C106&gt;C108,B106,B108),"")</f>
        <v>Väino Aul</v>
      </c>
      <c r="D107" s="718"/>
      <c r="E107" s="562">
        <v>7</v>
      </c>
      <c r="G107" s="712"/>
      <c r="H107" s="712"/>
      <c r="J107" s="712"/>
      <c r="L107" s="708" t="s">
        <v>141</v>
      </c>
      <c r="M107" s="718" t="str">
        <f>IF(COUNT(L101,L103)=2,IF(L101&lt;L103,K101,K103),"")</f>
        <v>Tõnu Piik</v>
      </c>
      <c r="N107" s="577">
        <v>13</v>
      </c>
      <c r="O107" s="737" t="s">
        <v>404</v>
      </c>
    </row>
    <row r="108" spans="1:15" x14ac:dyDescent="0.2">
      <c r="A108" s="717">
        <v>-108</v>
      </c>
      <c r="B108" s="710" t="str">
        <f>IF(COUNT(C36,C38)=2,IF(C36&lt;C38,B36,B38),"")</f>
        <v>-</v>
      </c>
      <c r="C108" s="763">
        <f>IF(B108="-",0,IF(B106="-",13,""))</f>
        <v>0</v>
      </c>
      <c r="D108" s="751"/>
      <c r="E108" s="719"/>
      <c r="F108" s="707"/>
      <c r="J108" s="712"/>
      <c r="K108" s="717"/>
      <c r="O108" s="712"/>
    </row>
    <row r="109" spans="1:15" ht="13.5" thickBot="1" x14ac:dyDescent="0.25">
      <c r="B109" s="712"/>
      <c r="C109" s="712"/>
      <c r="D109" s="719"/>
      <c r="E109" s="719"/>
      <c r="F109" s="707"/>
      <c r="G109" s="712"/>
      <c r="J109" s="712"/>
      <c r="K109" s="717"/>
      <c r="M109" s="712"/>
      <c r="O109" s="567" t="str">
        <f>IF(COUNT(N105,N107)=2,IF(N105&lt;N107,M105,M107),"")</f>
        <v>Kermo Vinkler</v>
      </c>
    </row>
    <row r="110" spans="1:15" x14ac:dyDescent="0.2">
      <c r="K110" s="717"/>
      <c r="N110" s="712"/>
      <c r="O110" s="737" t="s">
        <v>405</v>
      </c>
    </row>
    <row r="112" spans="1:15" x14ac:dyDescent="0.2">
      <c r="A112" s="729" t="s">
        <v>531</v>
      </c>
      <c r="B112" s="712"/>
      <c r="C112" s="712"/>
      <c r="E112" s="712"/>
      <c r="F112" s="712"/>
      <c r="J112" s="706">
        <v>149</v>
      </c>
      <c r="K112" s="34" t="str">
        <f>IF(COUNT(F78,F82)=2,IF(F78&lt;F82,E78,E82),"")</f>
        <v>Tarmo Bombe</v>
      </c>
      <c r="L112" s="575">
        <v>13</v>
      </c>
      <c r="M112" s="707"/>
    </row>
    <row r="113" spans="1:15" x14ac:dyDescent="0.2">
      <c r="J113" s="708"/>
      <c r="K113" s="739" t="s">
        <v>142</v>
      </c>
      <c r="L113" s="560" t="str">
        <f>IF(COUNT(L112,L114)=2,IF(L112&gt;L114,K112,K114),"")</f>
        <v>Tarmo Bombe</v>
      </c>
      <c r="M113" s="710"/>
      <c r="N113" s="557">
        <v>12</v>
      </c>
    </row>
    <row r="114" spans="1:15" x14ac:dyDescent="0.2">
      <c r="J114" s="708">
        <v>150</v>
      </c>
      <c r="K114" s="718" t="str">
        <f>IF(COUNT(F86,F90)=2,IF(F86&lt;F90,E86,E90),"")</f>
        <v>Janek Tarto</v>
      </c>
      <c r="L114" s="763">
        <v>12</v>
      </c>
      <c r="M114" s="738"/>
      <c r="N114" s="55"/>
    </row>
    <row r="115" spans="1:15" ht="13.5" thickBot="1" x14ac:dyDescent="0.25">
      <c r="J115" s="708"/>
      <c r="L115" s="712"/>
      <c r="M115" s="716"/>
      <c r="N115" s="750"/>
      <c r="O115" s="723" t="str">
        <f>IF(COUNT(N113,N117)=2,IF(N113&gt;N117,L113,L117),"")</f>
        <v>Illar Tõnurist</v>
      </c>
    </row>
    <row r="116" spans="1:15" x14ac:dyDescent="0.2">
      <c r="J116" s="708">
        <v>151</v>
      </c>
      <c r="K116" s="34" t="str">
        <f>IF(COUNT(F94,F98)=2,IF(F94&lt;F98,E94,E98),"")</f>
        <v>Henri Mitt</v>
      </c>
      <c r="L116" s="575">
        <v>9</v>
      </c>
      <c r="M116" s="715"/>
      <c r="N116" s="568"/>
      <c r="O116" s="725" t="s">
        <v>406</v>
      </c>
    </row>
    <row r="117" spans="1:15" x14ac:dyDescent="0.2">
      <c r="J117" s="708"/>
      <c r="K117" s="739" t="s">
        <v>143</v>
      </c>
      <c r="L117" s="560" t="str">
        <f>IF(COUNT(L116,L118)=2,IF(L116&gt;L118,K116,K118),"")</f>
        <v>Illar Tõnurist</v>
      </c>
      <c r="M117" s="718"/>
      <c r="N117" s="562">
        <v>13</v>
      </c>
    </row>
    <row r="118" spans="1:15" ht="13.5" thickBot="1" x14ac:dyDescent="0.25">
      <c r="J118" s="708">
        <v>152</v>
      </c>
      <c r="K118" s="718" t="str">
        <f>IF(COUNT(F102,F106)=2,IF(F102&lt;F106,E102,E106),"")</f>
        <v>Illar Tõnurist</v>
      </c>
      <c r="L118" s="763">
        <v>13</v>
      </c>
      <c r="M118" s="707"/>
      <c r="N118" s="712"/>
      <c r="O118" s="567" t="str">
        <f>IF(COUNT(N113,N117)=2,IF(N113&lt;N117,L113,L117),"")</f>
        <v>Tarmo Bombe</v>
      </c>
    </row>
    <row r="119" spans="1:15" x14ac:dyDescent="0.2">
      <c r="K119" s="717"/>
      <c r="N119" s="712"/>
      <c r="O119" s="725" t="s">
        <v>407</v>
      </c>
    </row>
    <row r="120" spans="1:15" x14ac:dyDescent="0.2">
      <c r="K120" s="717"/>
      <c r="L120" s="708" t="s">
        <v>142</v>
      </c>
      <c r="M120" s="34" t="str">
        <f>IF(COUNT(L112,L114)=2,IF(L112&lt;L114,K112,K114),"")</f>
        <v>Janek Tarto</v>
      </c>
      <c r="N120" s="557">
        <v>12</v>
      </c>
      <c r="O120" s="712"/>
    </row>
    <row r="121" spans="1:15" ht="13.5" thickBot="1" x14ac:dyDescent="0.25">
      <c r="K121" s="717"/>
      <c r="M121" s="714"/>
      <c r="N121" s="750"/>
      <c r="O121" s="726" t="str">
        <f>IF(COUNT(N120,N122)=2,IF(N120&gt;N122,M120,M122),"")</f>
        <v>Henri Mitt</v>
      </c>
    </row>
    <row r="122" spans="1:15" x14ac:dyDescent="0.2">
      <c r="K122" s="717"/>
      <c r="L122" s="708" t="s">
        <v>143</v>
      </c>
      <c r="M122" s="718" t="str">
        <f>IF(COUNT(L116,L118)=2,IF(L116&lt;L118,K116,K118),"")</f>
        <v>Henri Mitt</v>
      </c>
      <c r="N122" s="577">
        <v>13</v>
      </c>
      <c r="O122" s="737" t="s">
        <v>408</v>
      </c>
    </row>
    <row r="123" spans="1:15" x14ac:dyDescent="0.2">
      <c r="K123" s="717"/>
      <c r="O123" s="712"/>
    </row>
    <row r="124" spans="1:15" ht="13.5" thickBot="1" x14ac:dyDescent="0.25">
      <c r="K124" s="717"/>
      <c r="M124" s="712"/>
      <c r="O124" s="567" t="str">
        <f>IF(COUNT(N120,N122)=2,IF(N120&lt;N122,M120,M122),"")</f>
        <v>Janek Tarto</v>
      </c>
    </row>
    <row r="125" spans="1:15" x14ac:dyDescent="0.2">
      <c r="K125" s="717"/>
      <c r="N125" s="712"/>
      <c r="O125" s="737" t="s">
        <v>500</v>
      </c>
    </row>
    <row r="127" spans="1:15" x14ac:dyDescent="0.2">
      <c r="A127" s="705" t="s">
        <v>540</v>
      </c>
      <c r="K127" s="717"/>
      <c r="N127" s="712"/>
      <c r="O127" s="737"/>
    </row>
    <row r="128" spans="1:15" x14ac:dyDescent="0.2">
      <c r="B128" s="712"/>
      <c r="C128" s="712"/>
      <c r="D128" s="719"/>
      <c r="E128" s="719"/>
      <c r="F128" s="707"/>
      <c r="I128" s="706">
        <v>133</v>
      </c>
      <c r="J128" s="34" t="str">
        <f>IF(COUNT(E77,E79)=2,IF(E77&lt;E79,D77,C79),"")</f>
        <v>Peep Peenema</v>
      </c>
      <c r="K128" s="767" t="s">
        <v>562</v>
      </c>
      <c r="L128" s="707"/>
      <c r="O128" s="712"/>
    </row>
    <row r="129" spans="1:15" x14ac:dyDescent="0.2">
      <c r="A129" s="705"/>
      <c r="I129" s="708"/>
      <c r="J129" s="740">
        <v>153</v>
      </c>
      <c r="K129" s="560" t="s">
        <v>93</v>
      </c>
      <c r="L129" s="557">
        <v>13</v>
      </c>
      <c r="M129" s="707"/>
      <c r="O129" s="712"/>
    </row>
    <row r="130" spans="1:15" x14ac:dyDescent="0.2">
      <c r="I130" s="708">
        <v>134</v>
      </c>
      <c r="J130" s="710" t="str">
        <f>IF(COUNT(E81,E83)=2,IF(E81&lt;E83,D81,C83),"")</f>
        <v>Jaan Sepp</v>
      </c>
      <c r="K130" s="775">
        <v>13</v>
      </c>
      <c r="L130" s="55"/>
      <c r="O130" s="712"/>
    </row>
    <row r="131" spans="1:15" x14ac:dyDescent="0.2">
      <c r="I131" s="708"/>
      <c r="K131" s="720">
        <v>169</v>
      </c>
      <c r="L131" s="560" t="str">
        <f>IF(COUNT(L129,L133)=2,IF(L129&gt;L133,K129,K133),"")</f>
        <v>Jaan Sepp</v>
      </c>
      <c r="M131" s="712"/>
      <c r="N131" s="557">
        <v>5</v>
      </c>
      <c r="O131" s="712"/>
    </row>
    <row r="132" spans="1:15" x14ac:dyDescent="0.2">
      <c r="I132" s="708">
        <v>135</v>
      </c>
      <c r="J132" s="34" t="str">
        <f>IF(COUNT(E85,E87)=2,IF(E85&lt;E87,D85,C87),"")</f>
        <v>Ljudmila Varedi</v>
      </c>
      <c r="K132" s="576">
        <v>13</v>
      </c>
      <c r="L132" s="565"/>
      <c r="M132" s="714"/>
      <c r="O132" s="712"/>
    </row>
    <row r="133" spans="1:15" x14ac:dyDescent="0.2">
      <c r="I133" s="708"/>
      <c r="J133" s="740">
        <v>154</v>
      </c>
      <c r="K133" s="748" t="str">
        <f>IF(COUNT(K132,K134)=2,IF(K132&gt;K134,J132,J134),"")</f>
        <v>Ljudmila Varedi</v>
      </c>
      <c r="L133" s="575">
        <v>7</v>
      </c>
      <c r="M133" s="715"/>
      <c r="O133" s="712"/>
    </row>
    <row r="134" spans="1:15" x14ac:dyDescent="0.2">
      <c r="I134" s="708">
        <v>136</v>
      </c>
      <c r="J134" s="710" t="str">
        <f>IF(COUNT(E89,E91)=2,IF(E89&lt;E91,D89,C91),"")</f>
        <v>Romek Tarto</v>
      </c>
      <c r="K134" s="562">
        <v>10</v>
      </c>
      <c r="L134" s="712"/>
      <c r="M134" s="716"/>
      <c r="O134" s="712"/>
    </row>
    <row r="135" spans="1:15" ht="13.5" thickBot="1" x14ac:dyDescent="0.25">
      <c r="I135" s="717"/>
      <c r="L135" s="712"/>
      <c r="M135" s="720"/>
      <c r="N135" s="722"/>
      <c r="O135" s="723" t="str">
        <f>IF(COUNT(N131,N139)=2,IF(N131&gt;N139,L131,L139),"")</f>
        <v>Jaan Saar</v>
      </c>
    </row>
    <row r="136" spans="1:15" x14ac:dyDescent="0.2">
      <c r="I136" s="706">
        <v>137</v>
      </c>
      <c r="J136" s="34" t="str">
        <f>IF(COUNT(E93,E95)=2,IF(E93&lt;E95,D93,C95),"")</f>
        <v>Jaan Saar</v>
      </c>
      <c r="K136" s="557">
        <v>13</v>
      </c>
      <c r="L136" s="712"/>
      <c r="M136" s="716"/>
      <c r="N136" s="712"/>
      <c r="O136" s="725" t="s">
        <v>501</v>
      </c>
    </row>
    <row r="137" spans="1:15" x14ac:dyDescent="0.2">
      <c r="I137" s="708"/>
      <c r="J137" s="740">
        <v>155</v>
      </c>
      <c r="K137" s="560" t="str">
        <f>IF(COUNT(K136,K138)=2,IF(K136&gt;K138,J136,J138),"")</f>
        <v>Jaan Saar</v>
      </c>
      <c r="L137" s="575">
        <v>13</v>
      </c>
      <c r="M137" s="715"/>
      <c r="N137" s="712"/>
      <c r="O137" s="712"/>
    </row>
    <row r="138" spans="1:15" ht="13.5" thickBot="1" x14ac:dyDescent="0.25">
      <c r="I138" s="708">
        <v>138</v>
      </c>
      <c r="J138" s="710" t="s">
        <v>126</v>
      </c>
      <c r="K138" s="747">
        <v>10</v>
      </c>
      <c r="L138" s="554"/>
      <c r="M138" s="716"/>
      <c r="N138" s="737"/>
      <c r="O138" s="723" t="str">
        <f>IF(COUNT(N131,N139)=2,IF(N131&lt;N139,L131,L139),"")</f>
        <v>Jaan Sepp</v>
      </c>
    </row>
    <row r="139" spans="1:15" x14ac:dyDescent="0.2">
      <c r="I139" s="708"/>
      <c r="K139" s="720">
        <v>170</v>
      </c>
      <c r="L139" s="560" t="str">
        <f>IF(COUNT(L137,L141)=2,IF(L137&gt;L141,K137,K141),"")</f>
        <v>Jaan Saar</v>
      </c>
      <c r="M139" s="718"/>
      <c r="N139" s="557">
        <v>13</v>
      </c>
      <c r="O139" s="737" t="s">
        <v>532</v>
      </c>
    </row>
    <row r="140" spans="1:15" x14ac:dyDescent="0.2">
      <c r="I140" s="708">
        <v>139</v>
      </c>
      <c r="J140" s="34" t="str">
        <f>IF(COUNT(E101,E103)=2,IF(E101&lt;E103,D101,C103),"")</f>
        <v>Henry Vinkler</v>
      </c>
      <c r="K140" s="576">
        <v>13</v>
      </c>
      <c r="L140" s="565"/>
      <c r="M140" s="712"/>
      <c r="N140" s="712"/>
      <c r="O140" s="712"/>
    </row>
    <row r="141" spans="1:15" x14ac:dyDescent="0.2">
      <c r="I141" s="708"/>
      <c r="J141" s="740">
        <v>156</v>
      </c>
      <c r="K141" s="748" t="str">
        <f>IF(COUNT(K140,K142)=2,IF(K140&gt;K142,J140,J142),"")</f>
        <v>Henry Vinkler</v>
      </c>
      <c r="L141" s="557">
        <v>2</v>
      </c>
      <c r="M141" s="719"/>
      <c r="N141" s="712"/>
      <c r="O141" s="712"/>
    </row>
    <row r="142" spans="1:15" x14ac:dyDescent="0.2">
      <c r="I142" s="708">
        <v>140</v>
      </c>
      <c r="J142" s="710" t="str">
        <f>IF(COUNT(E105,E107)=2,IF(E105&lt;E107,D105,C107),"")</f>
        <v>Väino Aul</v>
      </c>
      <c r="K142" s="562">
        <v>9</v>
      </c>
      <c r="M142" s="712"/>
      <c r="N142" s="712"/>
      <c r="O142" s="712"/>
    </row>
    <row r="144" spans="1:15" x14ac:dyDescent="0.2">
      <c r="I144" s="708"/>
      <c r="J144" s="712"/>
      <c r="K144" s="719"/>
      <c r="L144" s="708">
        <v>169</v>
      </c>
      <c r="M144" s="34" t="str">
        <f>IF(COUNT(L129,L133)=2,IF(L129&lt;L133,K129,K133),"")</f>
        <v>Ljudmila Varedi</v>
      </c>
      <c r="N144" s="557">
        <v>10</v>
      </c>
      <c r="O144" s="712"/>
    </row>
    <row r="145" spans="8:15" ht="13.5" thickBot="1" x14ac:dyDescent="0.25">
      <c r="I145" s="708"/>
      <c r="M145" s="714"/>
      <c r="N145" s="750"/>
      <c r="O145" s="726" t="str">
        <f>IF(COUNT(N144,N146)=2,IF(N144&gt;N146,M144,M146),"")</f>
        <v>Henry Vinkler</v>
      </c>
    </row>
    <row r="146" spans="8:15" x14ac:dyDescent="0.2">
      <c r="I146" s="708"/>
      <c r="L146" s="708">
        <v>170</v>
      </c>
      <c r="M146" s="718" t="str">
        <f>IF(COUNT(L137,L141)=2,IF(L137&lt;L141,K137,K141),"")</f>
        <v>Henry Vinkler</v>
      </c>
      <c r="N146" s="577">
        <v>13</v>
      </c>
      <c r="O146" s="737" t="s">
        <v>544</v>
      </c>
    </row>
    <row r="147" spans="8:15" x14ac:dyDescent="0.2">
      <c r="I147" s="708"/>
      <c r="O147" s="712"/>
    </row>
    <row r="148" spans="8:15" ht="13.5" thickBot="1" x14ac:dyDescent="0.25">
      <c r="I148" s="708"/>
      <c r="M148" s="712"/>
      <c r="O148" s="567" t="str">
        <f>IF(COUNT(N144,N146)=2,IF(N144&lt;N146,M144,M146),"")</f>
        <v>Ljudmila Varedi</v>
      </c>
    </row>
    <row r="149" spans="8:15" x14ac:dyDescent="0.2">
      <c r="I149" s="708"/>
      <c r="N149" s="712"/>
      <c r="O149" s="737" t="s">
        <v>545</v>
      </c>
    </row>
    <row r="150" spans="8:15" x14ac:dyDescent="0.2">
      <c r="I150" s="708"/>
    </row>
    <row r="151" spans="8:15" x14ac:dyDescent="0.2">
      <c r="I151" s="708"/>
      <c r="J151" s="706">
        <v>153</v>
      </c>
      <c r="K151" s="746" t="s">
        <v>762</v>
      </c>
      <c r="L151" s="575">
        <v>13</v>
      </c>
      <c r="M151" s="707"/>
    </row>
    <row r="152" spans="8:15" x14ac:dyDescent="0.2">
      <c r="I152" s="708"/>
      <c r="J152" s="708"/>
      <c r="K152" s="739"/>
      <c r="L152" s="560" t="str">
        <f>IF(COUNT(L151,L153)=2,IF(L151&gt;L153,K151,K153),"")</f>
        <v>Peep Peenema</v>
      </c>
      <c r="M152" s="710"/>
      <c r="N152" s="557">
        <v>1</v>
      </c>
    </row>
    <row r="153" spans="8:15" x14ac:dyDescent="0.2">
      <c r="I153" s="708"/>
      <c r="J153" s="708">
        <v>154</v>
      </c>
      <c r="K153" s="718" t="str">
        <f>IF(COUNT(K132,K134)=2,IF(K132&lt;K134,J132,J134),"")</f>
        <v>Romek Tarto</v>
      </c>
      <c r="L153" s="763">
        <v>12</v>
      </c>
      <c r="M153" s="738"/>
      <c r="N153" s="55"/>
    </row>
    <row r="154" spans="8:15" ht="13.5" thickBot="1" x14ac:dyDescent="0.25">
      <c r="I154" s="708"/>
      <c r="J154" s="708"/>
      <c r="L154" s="712"/>
      <c r="M154" s="716"/>
      <c r="N154" s="750"/>
      <c r="O154" s="723" t="str">
        <f>IF(COUNT(N152,N156)=2,IF(N152&gt;N156,L152,L156),"")</f>
        <v>Väino Aul</v>
      </c>
    </row>
    <row r="155" spans="8:15" x14ac:dyDescent="0.2">
      <c r="I155" s="708"/>
      <c r="J155" s="708">
        <v>155</v>
      </c>
      <c r="K155" s="34" t="str">
        <f>IF(COUNT(K136,K138)=2,IF(K136&lt;K138,J136,J138),"")</f>
        <v>Oksana Sažina</v>
      </c>
      <c r="L155" s="575">
        <v>2</v>
      </c>
      <c r="M155" s="715"/>
      <c r="N155" s="568"/>
      <c r="O155" s="725" t="s">
        <v>546</v>
      </c>
    </row>
    <row r="156" spans="8:15" x14ac:dyDescent="0.2">
      <c r="I156" s="708"/>
      <c r="J156" s="708"/>
      <c r="K156" s="739"/>
      <c r="L156" s="560" t="str">
        <f>IF(COUNT(L155,L157)=2,IF(L155&gt;L157,K155,K157),"")</f>
        <v>Väino Aul</v>
      </c>
      <c r="M156" s="718"/>
      <c r="N156" s="562">
        <v>13</v>
      </c>
    </row>
    <row r="157" spans="8:15" ht="13.5" thickBot="1" x14ac:dyDescent="0.25">
      <c r="I157" s="708"/>
      <c r="J157" s="708">
        <v>156</v>
      </c>
      <c r="K157" s="718" t="str">
        <f>IF(COUNT(K140,K142)=2,IF(K140&lt;K142,J140,J142),"")</f>
        <v>Väino Aul</v>
      </c>
      <c r="L157" s="763">
        <v>13</v>
      </c>
      <c r="M157" s="707"/>
      <c r="N157" s="712"/>
      <c r="O157" s="567" t="str">
        <f>IF(COUNT(N152,N156)=2,IF(N152&lt;N156,L152,L156),"")</f>
        <v>Peep Peenema</v>
      </c>
    </row>
    <row r="158" spans="8:15" x14ac:dyDescent="0.2">
      <c r="I158" s="708"/>
      <c r="K158" s="717"/>
      <c r="N158" s="712"/>
      <c r="O158" s="725" t="s">
        <v>547</v>
      </c>
    </row>
    <row r="159" spans="8:15" x14ac:dyDescent="0.2">
      <c r="K159" s="717"/>
      <c r="L159" s="708"/>
      <c r="M159" s="34" t="str">
        <f>IF(COUNT(L151,L153)=2,IF(L151&lt;L153,K151,K153),"")</f>
        <v>Romek Tarto</v>
      </c>
      <c r="N159" s="557">
        <v>12</v>
      </c>
      <c r="O159" s="712"/>
    </row>
    <row r="160" spans="8:15" ht="13.5" thickBot="1" x14ac:dyDescent="0.25">
      <c r="H160" s="712"/>
      <c r="I160" s="712"/>
      <c r="K160" s="717"/>
      <c r="M160" s="714"/>
      <c r="N160" s="750"/>
      <c r="O160" s="726" t="str">
        <f>IF(COUNT(N159,N161)=2,IF(N159&gt;N161,M159,M161),"")</f>
        <v>Oksana Sažina</v>
      </c>
    </row>
    <row r="161" spans="1:15" x14ac:dyDescent="0.2">
      <c r="H161" s="712"/>
      <c r="I161" s="712"/>
      <c r="K161" s="717"/>
      <c r="L161" s="708"/>
      <c r="M161" s="718" t="str">
        <f>IF(COUNT(L155,L157)=2,IF(L155&lt;L157,K155,K157),"")</f>
        <v>Oksana Sažina</v>
      </c>
      <c r="N161" s="577">
        <v>13</v>
      </c>
      <c r="O161" s="737" t="s">
        <v>548</v>
      </c>
    </row>
    <row r="162" spans="1:15" x14ac:dyDescent="0.2">
      <c r="H162" s="712"/>
      <c r="I162" s="712"/>
      <c r="K162" s="717"/>
      <c r="O162" s="712"/>
    </row>
    <row r="163" spans="1:15" ht="13.5" thickBot="1" x14ac:dyDescent="0.25">
      <c r="H163" s="712"/>
      <c r="I163" s="712"/>
      <c r="K163" s="717"/>
      <c r="M163" s="712"/>
      <c r="O163" s="567" t="str">
        <f>IF(COUNT(N159,N161)=2,IF(N159&lt;N161,M159,M161),"")</f>
        <v>Romek Tarto</v>
      </c>
    </row>
    <row r="164" spans="1:15" x14ac:dyDescent="0.2">
      <c r="H164" s="712"/>
      <c r="I164" s="712"/>
      <c r="K164" s="717"/>
      <c r="N164" s="712"/>
      <c r="O164" s="737" t="s">
        <v>549</v>
      </c>
    </row>
    <row r="166" spans="1:15" x14ac:dyDescent="0.2">
      <c r="A166" s="705" t="s">
        <v>533</v>
      </c>
      <c r="E166" s="741" t="s">
        <v>534</v>
      </c>
      <c r="H166" s="741" t="s">
        <v>535</v>
      </c>
      <c r="J166" s="712"/>
    </row>
    <row r="167" spans="1:15" x14ac:dyDescent="0.2">
      <c r="J167" s="712"/>
    </row>
    <row r="168" spans="1:15" x14ac:dyDescent="0.2">
      <c r="A168" s="186">
        <v>1</v>
      </c>
      <c r="B168" s="589" t="str">
        <f t="shared" ref="B168:B191" si="0">IFERROR(INDEX(O$10:O$168,MATCH(A168&amp;". koht",O$11:O$169,0)),"")</f>
        <v>Elmo Lageda</v>
      </c>
      <c r="C168" s="52"/>
      <c r="D168" s="758">
        <v>1</v>
      </c>
      <c r="E168" s="742" t="s">
        <v>126</v>
      </c>
      <c r="G168" s="758">
        <v>1</v>
      </c>
      <c r="H168" s="742" t="s">
        <v>207</v>
      </c>
      <c r="J168" s="712"/>
    </row>
    <row r="169" spans="1:15" x14ac:dyDescent="0.2">
      <c r="A169" s="186">
        <v>2</v>
      </c>
      <c r="B169" s="590" t="str">
        <f t="shared" si="0"/>
        <v>Viktor Švarõgin</v>
      </c>
      <c r="C169" s="284"/>
      <c r="D169" s="758">
        <v>2</v>
      </c>
      <c r="E169" s="743" t="s">
        <v>561</v>
      </c>
      <c r="G169" s="758">
        <v>2</v>
      </c>
      <c r="H169" s="743" t="s">
        <v>114</v>
      </c>
      <c r="J169" s="712"/>
    </row>
    <row r="170" spans="1:15" x14ac:dyDescent="0.2">
      <c r="A170" s="186">
        <v>3</v>
      </c>
      <c r="B170" s="591" t="str">
        <f t="shared" si="0"/>
        <v>Ülo Piik</v>
      </c>
      <c r="C170" s="284"/>
      <c r="D170" s="758">
        <v>3</v>
      </c>
      <c r="E170" s="744" t="s">
        <v>264</v>
      </c>
      <c r="G170" s="758">
        <v>3</v>
      </c>
      <c r="H170" s="744" t="s">
        <v>209</v>
      </c>
      <c r="J170" s="712"/>
    </row>
    <row r="171" spans="1:15" x14ac:dyDescent="0.2">
      <c r="A171" s="186">
        <v>4</v>
      </c>
      <c r="B171" s="175" t="str">
        <f t="shared" si="0"/>
        <v>Oleg Rõndenkov</v>
      </c>
      <c r="C171" s="284"/>
      <c r="D171" s="758"/>
      <c r="G171" s="758">
        <v>4</v>
      </c>
      <c r="H171" s="34" t="s">
        <v>119</v>
      </c>
    </row>
    <row r="172" spans="1:15" x14ac:dyDescent="0.2">
      <c r="A172" s="186">
        <v>5</v>
      </c>
      <c r="B172" s="175" t="str">
        <f t="shared" si="0"/>
        <v>Boriss Klubov</v>
      </c>
      <c r="C172" s="12"/>
      <c r="D172" s="758"/>
      <c r="G172" s="758">
        <v>5</v>
      </c>
      <c r="H172" s="34" t="s">
        <v>125</v>
      </c>
    </row>
    <row r="173" spans="1:15" x14ac:dyDescent="0.2">
      <c r="A173" s="186">
        <v>6</v>
      </c>
      <c r="B173" s="175" t="str">
        <f t="shared" si="0"/>
        <v>Karla Purgats</v>
      </c>
      <c r="C173" s="12"/>
      <c r="G173" s="758">
        <v>6</v>
      </c>
      <c r="H173" s="746" t="s">
        <v>117</v>
      </c>
    </row>
    <row r="174" spans="1:15" x14ac:dyDescent="0.2">
      <c r="A174" s="186">
        <v>7</v>
      </c>
      <c r="B174" s="175" t="str">
        <f t="shared" si="0"/>
        <v>Johannes Neiland</v>
      </c>
      <c r="C174" s="12"/>
      <c r="E174" s="741" t="s">
        <v>543</v>
      </c>
      <c r="G174" s="758">
        <v>7</v>
      </c>
      <c r="H174" s="34" t="s">
        <v>124</v>
      </c>
    </row>
    <row r="175" spans="1:15" x14ac:dyDescent="0.2">
      <c r="A175" s="186">
        <v>8</v>
      </c>
      <c r="B175" s="175" t="str">
        <f t="shared" si="0"/>
        <v>Meelis Luud</v>
      </c>
      <c r="C175" s="12"/>
      <c r="G175" s="758">
        <v>8</v>
      </c>
      <c r="H175" s="34" t="s">
        <v>122</v>
      </c>
    </row>
    <row r="176" spans="1:15" x14ac:dyDescent="0.2">
      <c r="A176" s="186">
        <v>9</v>
      </c>
      <c r="B176" s="175" t="str">
        <f t="shared" si="0"/>
        <v>Urmas Jõeäär</v>
      </c>
      <c r="C176" s="12"/>
      <c r="D176" s="758">
        <v>1</v>
      </c>
      <c r="E176" s="742" t="s">
        <v>522</v>
      </c>
      <c r="G176" s="758">
        <v>9</v>
      </c>
      <c r="H176" s="745" t="s">
        <v>208</v>
      </c>
    </row>
    <row r="177" spans="1:9" x14ac:dyDescent="0.2">
      <c r="A177" s="186">
        <v>10</v>
      </c>
      <c r="B177" s="175" t="str">
        <f t="shared" si="0"/>
        <v>Kenneth Muusikus</v>
      </c>
      <c r="C177" s="12"/>
      <c r="D177" s="758">
        <v>2</v>
      </c>
      <c r="E177" s="743" t="s">
        <v>125</v>
      </c>
      <c r="G177" s="758">
        <v>10</v>
      </c>
      <c r="H177" s="34" t="s">
        <v>123</v>
      </c>
    </row>
    <row r="178" spans="1:9" x14ac:dyDescent="0.2">
      <c r="A178" s="186">
        <v>11</v>
      </c>
      <c r="B178" s="175" t="str">
        <f t="shared" si="0"/>
        <v>Tõnu Piik</v>
      </c>
      <c r="C178" s="12"/>
      <c r="D178" s="758">
        <v>3</v>
      </c>
      <c r="E178" s="744" t="s">
        <v>523</v>
      </c>
      <c r="G178" s="758">
        <v>11</v>
      </c>
      <c r="H178" s="745" t="s">
        <v>762</v>
      </c>
    </row>
    <row r="179" spans="1:9" x14ac:dyDescent="0.2">
      <c r="A179" s="186">
        <v>12</v>
      </c>
      <c r="B179" s="175" t="str">
        <f t="shared" si="0"/>
        <v>Kermo Vinkler</v>
      </c>
      <c r="C179" s="12"/>
      <c r="I179" s="758"/>
    </row>
    <row r="180" spans="1:9" x14ac:dyDescent="0.2">
      <c r="A180" s="186">
        <v>13</v>
      </c>
      <c r="B180" s="175" t="str">
        <f t="shared" si="0"/>
        <v>Illar Tõnurist</v>
      </c>
      <c r="C180" s="12"/>
      <c r="I180" s="758"/>
    </row>
    <row r="181" spans="1:9" x14ac:dyDescent="0.2">
      <c r="A181" s="186">
        <v>14</v>
      </c>
      <c r="B181" s="175" t="str">
        <f t="shared" si="0"/>
        <v>Tarmo Bombe</v>
      </c>
      <c r="C181" s="12"/>
    </row>
    <row r="182" spans="1:9" x14ac:dyDescent="0.2">
      <c r="A182" s="186">
        <v>15</v>
      </c>
      <c r="B182" s="175" t="str">
        <f t="shared" si="0"/>
        <v>Henri Mitt</v>
      </c>
      <c r="C182" s="12"/>
    </row>
    <row r="183" spans="1:9" x14ac:dyDescent="0.2">
      <c r="A183" s="186">
        <v>16</v>
      </c>
      <c r="B183" s="175" t="str">
        <f t="shared" si="0"/>
        <v>Janek Tarto</v>
      </c>
    </row>
    <row r="184" spans="1:9" x14ac:dyDescent="0.2">
      <c r="A184" s="186">
        <v>17</v>
      </c>
      <c r="B184" s="175" t="str">
        <f t="shared" si="0"/>
        <v>Jaan Saar</v>
      </c>
    </row>
    <row r="185" spans="1:9" x14ac:dyDescent="0.2">
      <c r="A185" s="186">
        <v>18</v>
      </c>
      <c r="B185" s="175" t="str">
        <f t="shared" si="0"/>
        <v>Jaan Sepp</v>
      </c>
    </row>
    <row r="186" spans="1:9" x14ac:dyDescent="0.2">
      <c r="A186" s="186">
        <v>19</v>
      </c>
      <c r="B186" s="175" t="str">
        <f t="shared" si="0"/>
        <v>Henry Vinkler</v>
      </c>
    </row>
    <row r="187" spans="1:9" x14ac:dyDescent="0.2">
      <c r="A187" s="186">
        <v>20</v>
      </c>
      <c r="B187" s="175" t="str">
        <f t="shared" si="0"/>
        <v>Ljudmila Varedi</v>
      </c>
    </row>
    <row r="188" spans="1:9" x14ac:dyDescent="0.2">
      <c r="A188" s="186">
        <v>21</v>
      </c>
      <c r="B188" s="175" t="str">
        <f t="shared" si="0"/>
        <v>Väino Aul</v>
      </c>
    </row>
    <row r="189" spans="1:9" x14ac:dyDescent="0.2">
      <c r="A189" s="186">
        <v>22</v>
      </c>
      <c r="B189" s="175" t="str">
        <f t="shared" si="0"/>
        <v>Peep Peenema</v>
      </c>
    </row>
    <row r="190" spans="1:9" x14ac:dyDescent="0.2">
      <c r="A190" s="186">
        <v>23</v>
      </c>
      <c r="B190" s="175" t="str">
        <f t="shared" si="0"/>
        <v>Oksana Sažina</v>
      </c>
    </row>
    <row r="191" spans="1:9" x14ac:dyDescent="0.2">
      <c r="A191" s="186">
        <v>24</v>
      </c>
      <c r="B191" s="175" t="str">
        <f t="shared" si="0"/>
        <v>Romek Tarto</v>
      </c>
    </row>
    <row r="192" spans="1:9" x14ac:dyDescent="0.2">
      <c r="A192" s="186">
        <v>25</v>
      </c>
      <c r="B192" s="177" t="s">
        <v>117</v>
      </c>
    </row>
    <row r="193" spans="1:2" hidden="1" x14ac:dyDescent="0.2">
      <c r="A193" s="186">
        <v>26</v>
      </c>
      <c r="B193" s="175" t="str">
        <f t="shared" ref="B193:B199" si="1">IFERROR(INDEX(O$10:O$168,MATCH(A193&amp;". koht",O$11:O$169,0)),"")</f>
        <v/>
      </c>
    </row>
    <row r="194" spans="1:2" hidden="1" x14ac:dyDescent="0.2">
      <c r="A194" s="186">
        <v>27</v>
      </c>
      <c r="B194" s="175" t="str">
        <f t="shared" si="1"/>
        <v/>
      </c>
    </row>
    <row r="195" spans="1:2" hidden="1" x14ac:dyDescent="0.2">
      <c r="A195" s="186">
        <v>28</v>
      </c>
      <c r="B195" s="175" t="str">
        <f t="shared" si="1"/>
        <v/>
      </c>
    </row>
    <row r="196" spans="1:2" hidden="1" x14ac:dyDescent="0.2">
      <c r="A196" s="186">
        <v>29</v>
      </c>
      <c r="B196" s="175" t="str">
        <f t="shared" si="1"/>
        <v/>
      </c>
    </row>
    <row r="197" spans="1:2" hidden="1" x14ac:dyDescent="0.2">
      <c r="A197" s="186">
        <v>30</v>
      </c>
      <c r="B197" s="175" t="str">
        <f t="shared" si="1"/>
        <v/>
      </c>
    </row>
    <row r="198" spans="1:2" hidden="1" x14ac:dyDescent="0.2">
      <c r="A198" s="186">
        <v>31</v>
      </c>
      <c r="B198" s="175" t="str">
        <f t="shared" si="1"/>
        <v/>
      </c>
    </row>
    <row r="199" spans="1:2" hidden="1" x14ac:dyDescent="0.2">
      <c r="A199" s="186">
        <v>32</v>
      </c>
      <c r="B199" s="175" t="str">
        <f t="shared" si="1"/>
        <v/>
      </c>
    </row>
  </sheetData>
  <conditionalFormatting sqref="N62:N63 N70 L71:N73 K72">
    <cfRule type="cellIs" dxfId="758" priority="295" operator="equal">
      <formula>13</formula>
    </cfRule>
  </conditionalFormatting>
  <conditionalFormatting sqref="C8 C10">
    <cfRule type="aboveAverage" dxfId="757" priority="294"/>
  </conditionalFormatting>
  <conditionalFormatting sqref="C8 C10">
    <cfRule type="containsBlanks" dxfId="756" priority="293">
      <formula>LEN(TRIM(C8))=0</formula>
    </cfRule>
  </conditionalFormatting>
  <conditionalFormatting sqref="C12 C14">
    <cfRule type="aboveAverage" dxfId="755" priority="292"/>
  </conditionalFormatting>
  <conditionalFormatting sqref="C12 C14">
    <cfRule type="containsBlanks" dxfId="754" priority="291">
      <formula>LEN(TRIM(C12))=0</formula>
    </cfRule>
  </conditionalFormatting>
  <conditionalFormatting sqref="C16 C18">
    <cfRule type="aboveAverage" dxfId="753" priority="290"/>
  </conditionalFormatting>
  <conditionalFormatting sqref="C16 C18">
    <cfRule type="containsBlanks" dxfId="752" priority="289">
      <formula>LEN(TRIM(C16))=0</formula>
    </cfRule>
  </conditionalFormatting>
  <conditionalFormatting sqref="C24 C26">
    <cfRule type="aboveAverage" dxfId="751" priority="288"/>
  </conditionalFormatting>
  <conditionalFormatting sqref="C24 C26">
    <cfRule type="containsBlanks" dxfId="750" priority="287">
      <formula>LEN(TRIM(C24))=0</formula>
    </cfRule>
  </conditionalFormatting>
  <conditionalFormatting sqref="C32 C34">
    <cfRule type="aboveAverage" dxfId="749" priority="286"/>
  </conditionalFormatting>
  <conditionalFormatting sqref="C32 C34">
    <cfRule type="containsBlanks" dxfId="748" priority="285">
      <formula>LEN(TRIM(C32))=0</formula>
    </cfRule>
  </conditionalFormatting>
  <conditionalFormatting sqref="C20 C22">
    <cfRule type="aboveAverage" dxfId="747" priority="284"/>
  </conditionalFormatting>
  <conditionalFormatting sqref="C20 C22">
    <cfRule type="containsBlanks" dxfId="746" priority="283">
      <formula>LEN(TRIM(C20))=0</formula>
    </cfRule>
  </conditionalFormatting>
  <conditionalFormatting sqref="C28 C30">
    <cfRule type="aboveAverage" dxfId="745" priority="282"/>
  </conditionalFormatting>
  <conditionalFormatting sqref="C28 C30">
    <cfRule type="containsBlanks" dxfId="744" priority="281">
      <formula>LEN(TRIM(C28))=0</formula>
    </cfRule>
  </conditionalFormatting>
  <conditionalFormatting sqref="C36 C38">
    <cfRule type="containsBlanks" dxfId="743" priority="279">
      <formula>LEN(TRIM(C36))=0</formula>
    </cfRule>
    <cfRule type="aboveAverage" dxfId="742" priority="280"/>
  </conditionalFormatting>
  <conditionalFormatting sqref="C41 C43">
    <cfRule type="aboveAverage" dxfId="741" priority="278"/>
  </conditionalFormatting>
  <conditionalFormatting sqref="C41 C43">
    <cfRule type="containsBlanks" dxfId="740" priority="277">
      <formula>LEN(TRIM(C41))=0</formula>
    </cfRule>
  </conditionalFormatting>
  <conditionalFormatting sqref="C45 C47">
    <cfRule type="aboveAverage" dxfId="739" priority="276"/>
  </conditionalFormatting>
  <conditionalFormatting sqref="C45 C47">
    <cfRule type="containsBlanks" dxfId="738" priority="275">
      <formula>LEN(TRIM(C45))=0</formula>
    </cfRule>
  </conditionalFormatting>
  <conditionalFormatting sqref="C49 C51">
    <cfRule type="aboveAverage" dxfId="737" priority="274"/>
  </conditionalFormatting>
  <conditionalFormatting sqref="C49 C51">
    <cfRule type="containsBlanks" dxfId="736" priority="273">
      <formula>LEN(TRIM(C49))=0</formula>
    </cfRule>
  </conditionalFormatting>
  <conditionalFormatting sqref="C57 C59">
    <cfRule type="aboveAverage" dxfId="735" priority="272"/>
  </conditionalFormatting>
  <conditionalFormatting sqref="C57 C59">
    <cfRule type="containsBlanks" dxfId="734" priority="271">
      <formula>LEN(TRIM(C57))=0</formula>
    </cfRule>
  </conditionalFormatting>
  <conditionalFormatting sqref="C65 C67">
    <cfRule type="aboveAverage" dxfId="733" priority="270"/>
  </conditionalFormatting>
  <conditionalFormatting sqref="C65 C67">
    <cfRule type="containsBlanks" dxfId="732" priority="269">
      <formula>LEN(TRIM(C65))=0</formula>
    </cfRule>
  </conditionalFormatting>
  <conditionalFormatting sqref="C53 C55">
    <cfRule type="aboveAverage" dxfId="731" priority="268"/>
  </conditionalFormatting>
  <conditionalFormatting sqref="C53 C55">
    <cfRule type="containsBlanks" dxfId="730" priority="267">
      <formula>LEN(TRIM(C53))=0</formula>
    </cfRule>
  </conditionalFormatting>
  <conditionalFormatting sqref="C61 C63">
    <cfRule type="aboveAverage" dxfId="729" priority="266"/>
  </conditionalFormatting>
  <conditionalFormatting sqref="C61 C63">
    <cfRule type="containsBlanks" dxfId="728" priority="265">
      <formula>LEN(TRIM(C61))=0</formula>
    </cfRule>
  </conditionalFormatting>
  <conditionalFormatting sqref="C69 C71">
    <cfRule type="containsBlanks" dxfId="727" priority="263">
      <formula>LEN(TRIM(C69))=0</formula>
    </cfRule>
    <cfRule type="aboveAverage" dxfId="726" priority="264"/>
  </conditionalFormatting>
  <conditionalFormatting sqref="C106 C108 C102 C104 C98 C100 C94 C96 C90 C92 C86 C88 C82 C84 C78 C80">
    <cfRule type="aboveAverage" dxfId="725" priority="262"/>
  </conditionalFormatting>
  <conditionalFormatting sqref="C106 C108 C102 C104 C98 C100 C94 C96 C90 C92 C86 C88 C82 C84 C78 C80">
    <cfRule type="containsBlanks" dxfId="724" priority="261">
      <formula>LEN(TRIM(C78))=0</formula>
    </cfRule>
  </conditionalFormatting>
  <conditionalFormatting sqref="N139">
    <cfRule type="containsBlanks" dxfId="723" priority="149">
      <formula>LEN(TRIM(N139))=0</formula>
    </cfRule>
  </conditionalFormatting>
  <conditionalFormatting sqref="E77 E79">
    <cfRule type="aboveAverage" dxfId="722" priority="260"/>
  </conditionalFormatting>
  <conditionalFormatting sqref="E77 E79">
    <cfRule type="containsBlanks" dxfId="721" priority="259">
      <formula>LEN(TRIM(E77))=0</formula>
    </cfRule>
  </conditionalFormatting>
  <conditionalFormatting sqref="E81 E83">
    <cfRule type="aboveAverage" dxfId="720" priority="258"/>
  </conditionalFormatting>
  <conditionalFormatting sqref="E81 E83">
    <cfRule type="containsBlanks" dxfId="719" priority="257">
      <formula>LEN(TRIM(E81))=0</formula>
    </cfRule>
  </conditionalFormatting>
  <conditionalFormatting sqref="E85 E87">
    <cfRule type="aboveAverage" dxfId="718" priority="256"/>
  </conditionalFormatting>
  <conditionalFormatting sqref="E85 E87">
    <cfRule type="containsBlanks" dxfId="717" priority="255">
      <formula>LEN(TRIM(E85))=0</formula>
    </cfRule>
  </conditionalFormatting>
  <conditionalFormatting sqref="E93 E95">
    <cfRule type="aboveAverage" dxfId="716" priority="254"/>
  </conditionalFormatting>
  <conditionalFormatting sqref="E93 E95">
    <cfRule type="containsBlanks" dxfId="715" priority="253">
      <formula>LEN(TRIM(E93))=0</formula>
    </cfRule>
  </conditionalFormatting>
  <conditionalFormatting sqref="E101 E103">
    <cfRule type="aboveAverage" dxfId="714" priority="252"/>
  </conditionalFormatting>
  <conditionalFormatting sqref="E101 E103">
    <cfRule type="containsBlanks" dxfId="713" priority="251">
      <formula>LEN(TRIM(E101))=0</formula>
    </cfRule>
  </conditionalFormatting>
  <conditionalFormatting sqref="E89 E91">
    <cfRule type="aboveAverage" dxfId="712" priority="250"/>
  </conditionalFormatting>
  <conditionalFormatting sqref="E89 E91">
    <cfRule type="containsBlanks" dxfId="711" priority="249">
      <formula>LEN(TRIM(E89))=0</formula>
    </cfRule>
  </conditionalFormatting>
  <conditionalFormatting sqref="E97 E99">
    <cfRule type="aboveAverage" dxfId="710" priority="248"/>
  </conditionalFormatting>
  <conditionalFormatting sqref="E97 E99">
    <cfRule type="containsBlanks" dxfId="709" priority="247">
      <formula>LEN(TRIM(E97))=0</formula>
    </cfRule>
  </conditionalFormatting>
  <conditionalFormatting sqref="E105 E107">
    <cfRule type="aboveAverage" dxfId="708" priority="246"/>
  </conditionalFormatting>
  <conditionalFormatting sqref="E105 E107">
    <cfRule type="containsBlanks" dxfId="707" priority="245">
      <formula>LEN(TRIM(E105))=0</formula>
    </cfRule>
  </conditionalFormatting>
  <conditionalFormatting sqref="E9 E13">
    <cfRule type="containsBlanks" dxfId="706" priority="243">
      <formula>LEN(TRIM(E9))=0</formula>
    </cfRule>
    <cfRule type="aboveAverage" dxfId="705" priority="244"/>
  </conditionalFormatting>
  <conditionalFormatting sqref="E17 E21">
    <cfRule type="containsBlanks" dxfId="704" priority="239">
      <formula>LEN(TRIM(E17))=0</formula>
    </cfRule>
    <cfRule type="aboveAverage" dxfId="703" priority="240"/>
  </conditionalFormatting>
  <conditionalFormatting sqref="G80">
    <cfRule type="containsBlanks" dxfId="702" priority="209">
      <formula>LEN(TRIM(G80))=0</formula>
    </cfRule>
  </conditionalFormatting>
  <conditionalFormatting sqref="G76 G80">
    <cfRule type="containsBlanks" dxfId="701" priority="211">
      <formula>LEN(TRIM(G76))=0</formula>
    </cfRule>
    <cfRule type="aboveAverage" dxfId="700" priority="212"/>
  </conditionalFormatting>
  <conditionalFormatting sqref="G80">
    <cfRule type="aboveAverage" dxfId="699" priority="210"/>
  </conditionalFormatting>
  <conditionalFormatting sqref="G92 G96">
    <cfRule type="containsBlanks" dxfId="698" priority="207">
      <formula>LEN(TRIM(G92))=0</formula>
    </cfRule>
    <cfRule type="aboveAverage" dxfId="697" priority="208"/>
  </conditionalFormatting>
  <conditionalFormatting sqref="G84 G88">
    <cfRule type="containsBlanks" dxfId="696" priority="203">
      <formula>LEN(TRIM(G84))=0</formula>
    </cfRule>
    <cfRule type="aboveAverage" dxfId="695" priority="204"/>
  </conditionalFormatting>
  <conditionalFormatting sqref="G88">
    <cfRule type="aboveAverage" dxfId="694" priority="202"/>
  </conditionalFormatting>
  <conditionalFormatting sqref="G88">
    <cfRule type="containsBlanks" dxfId="693" priority="201">
      <formula>LEN(TRIM(G88))=0</formula>
    </cfRule>
  </conditionalFormatting>
  <conditionalFormatting sqref="G100 G104">
    <cfRule type="containsBlanks" dxfId="692" priority="199">
      <formula>LEN(TRIM(G100))=0</formula>
    </cfRule>
    <cfRule type="aboveAverage" dxfId="691" priority="200"/>
  </conditionalFormatting>
  <conditionalFormatting sqref="N82 N84">
    <cfRule type="aboveAverage" dxfId="690" priority="196"/>
  </conditionalFormatting>
  <conditionalFormatting sqref="N82 N84">
    <cfRule type="containsBlanks" dxfId="689" priority="195">
      <formula>LEN(TRIM(N82))=0</formula>
    </cfRule>
  </conditionalFormatting>
  <conditionalFormatting sqref="N89 N91">
    <cfRule type="aboveAverage" dxfId="688" priority="194"/>
  </conditionalFormatting>
  <conditionalFormatting sqref="N89 N91">
    <cfRule type="containsBlanks" dxfId="687" priority="193">
      <formula>LEN(TRIM(N89))=0</formula>
    </cfRule>
  </conditionalFormatting>
  <conditionalFormatting sqref="N105 N107">
    <cfRule type="aboveAverage" dxfId="686" priority="192"/>
  </conditionalFormatting>
  <conditionalFormatting sqref="N105 N107">
    <cfRule type="containsBlanks" dxfId="685" priority="191">
      <formula>LEN(TRIM(N105))=0</formula>
    </cfRule>
  </conditionalFormatting>
  <conditionalFormatting sqref="N120 N122">
    <cfRule type="aboveAverage" dxfId="684" priority="190"/>
  </conditionalFormatting>
  <conditionalFormatting sqref="N120 N122">
    <cfRule type="containsBlanks" dxfId="683" priority="189">
      <formula>LEN(TRIM(N120))=0</formula>
    </cfRule>
  </conditionalFormatting>
  <conditionalFormatting sqref="N113">
    <cfRule type="aboveAverage" dxfId="682" priority="188"/>
  </conditionalFormatting>
  <conditionalFormatting sqref="N113">
    <cfRule type="containsBlanks" dxfId="681" priority="187">
      <formula>LEN(TRIM(N113))=0</formula>
    </cfRule>
  </conditionalFormatting>
  <conditionalFormatting sqref="N117">
    <cfRule type="aboveAverage" dxfId="680" priority="186"/>
  </conditionalFormatting>
  <conditionalFormatting sqref="N117">
    <cfRule type="containsBlanks" dxfId="679" priority="185">
      <formula>LEN(TRIM(N117))=0</formula>
    </cfRule>
  </conditionalFormatting>
  <conditionalFormatting sqref="N98">
    <cfRule type="aboveAverage" dxfId="678" priority="184"/>
  </conditionalFormatting>
  <conditionalFormatting sqref="N98">
    <cfRule type="containsBlanks" dxfId="677" priority="183">
      <formula>LEN(TRIM(N98))=0</formula>
    </cfRule>
  </conditionalFormatting>
  <conditionalFormatting sqref="N102">
    <cfRule type="aboveAverage" dxfId="676" priority="182"/>
  </conditionalFormatting>
  <conditionalFormatting sqref="N102">
    <cfRule type="containsBlanks" dxfId="675" priority="181">
      <formula>LEN(TRIM(N102))=0</formula>
    </cfRule>
  </conditionalFormatting>
  <conditionalFormatting sqref="L97 L99">
    <cfRule type="aboveAverage" dxfId="674" priority="180"/>
  </conditionalFormatting>
  <conditionalFormatting sqref="L97 L99">
    <cfRule type="containsBlanks" dxfId="673" priority="179">
      <formula>LEN(TRIM(L97))=0</formula>
    </cfRule>
  </conditionalFormatting>
  <conditionalFormatting sqref="L101 L103">
    <cfRule type="aboveAverage" dxfId="672" priority="178"/>
  </conditionalFormatting>
  <conditionalFormatting sqref="L101 L103">
    <cfRule type="containsBlanks" dxfId="671" priority="177">
      <formula>LEN(TRIM(L101))=0</formula>
    </cfRule>
  </conditionalFormatting>
  <conditionalFormatting sqref="L112 L114">
    <cfRule type="aboveAverage" dxfId="670" priority="176"/>
  </conditionalFormatting>
  <conditionalFormatting sqref="L112 L114">
    <cfRule type="containsBlanks" dxfId="669" priority="175">
      <formula>LEN(TRIM(L112))=0</formula>
    </cfRule>
  </conditionalFormatting>
  <conditionalFormatting sqref="L116 L118">
    <cfRule type="aboveAverage" dxfId="668" priority="174"/>
  </conditionalFormatting>
  <conditionalFormatting sqref="L116 L118">
    <cfRule type="containsBlanks" dxfId="667" priority="173">
      <formula>LEN(TRIM(L116))=0</formula>
    </cfRule>
  </conditionalFormatting>
  <conditionalFormatting sqref="K128 K130">
    <cfRule type="aboveAverage" dxfId="666" priority="172"/>
  </conditionalFormatting>
  <conditionalFormatting sqref="K128 K130">
    <cfRule type="containsBlanks" dxfId="665" priority="171">
      <formula>LEN(TRIM(K128))=0</formula>
    </cfRule>
  </conditionalFormatting>
  <conditionalFormatting sqref="K136 K138">
    <cfRule type="aboveAverage" dxfId="664" priority="170"/>
  </conditionalFormatting>
  <conditionalFormatting sqref="K136 K138">
    <cfRule type="containsBlanks" dxfId="663" priority="169">
      <formula>LEN(TRIM(K136))=0</formula>
    </cfRule>
  </conditionalFormatting>
  <conditionalFormatting sqref="K132 K134">
    <cfRule type="aboveAverage" dxfId="662" priority="168"/>
  </conditionalFormatting>
  <conditionalFormatting sqref="K132 K134">
    <cfRule type="containsBlanks" dxfId="661" priority="167">
      <formula>LEN(TRIM(K132))=0</formula>
    </cfRule>
  </conditionalFormatting>
  <conditionalFormatting sqref="K140 K142">
    <cfRule type="aboveAverage" dxfId="660" priority="166"/>
  </conditionalFormatting>
  <conditionalFormatting sqref="K140 K142">
    <cfRule type="containsBlanks" dxfId="659" priority="165">
      <formula>LEN(TRIM(K140))=0</formula>
    </cfRule>
  </conditionalFormatting>
  <conditionalFormatting sqref="L129">
    <cfRule type="aboveAverage" dxfId="658" priority="164"/>
  </conditionalFormatting>
  <conditionalFormatting sqref="L129">
    <cfRule type="containsBlanks" dxfId="657" priority="163">
      <formula>LEN(TRIM(L129))=0</formula>
    </cfRule>
  </conditionalFormatting>
  <conditionalFormatting sqref="L133">
    <cfRule type="aboveAverage" dxfId="656" priority="162"/>
  </conditionalFormatting>
  <conditionalFormatting sqref="L133">
    <cfRule type="containsBlanks" dxfId="655" priority="161">
      <formula>LEN(TRIM(L133))=0</formula>
    </cfRule>
  </conditionalFormatting>
  <conditionalFormatting sqref="L137">
    <cfRule type="aboveAverage" dxfId="654" priority="160"/>
  </conditionalFormatting>
  <conditionalFormatting sqref="L137">
    <cfRule type="containsBlanks" dxfId="653" priority="159">
      <formula>LEN(TRIM(L137))=0</formula>
    </cfRule>
  </conditionalFormatting>
  <conditionalFormatting sqref="L141">
    <cfRule type="aboveAverage" dxfId="652" priority="158"/>
  </conditionalFormatting>
  <conditionalFormatting sqref="L141">
    <cfRule type="containsBlanks" dxfId="651" priority="157">
      <formula>LEN(TRIM(L141))=0</formula>
    </cfRule>
  </conditionalFormatting>
  <conditionalFormatting sqref="N65 N69">
    <cfRule type="containsBlanks" dxfId="650" priority="155">
      <formula>LEN(TRIM(N65))=0</formula>
    </cfRule>
    <cfRule type="aboveAverage" dxfId="649" priority="156"/>
  </conditionalFormatting>
  <conditionalFormatting sqref="N131">
    <cfRule type="aboveAverage" dxfId="648" priority="152"/>
  </conditionalFormatting>
  <conditionalFormatting sqref="N131">
    <cfRule type="containsBlanks" dxfId="647" priority="151">
      <formula>LEN(TRIM(N131))=0</formula>
    </cfRule>
  </conditionalFormatting>
  <conditionalFormatting sqref="N139">
    <cfRule type="aboveAverage" dxfId="646" priority="150"/>
  </conditionalFormatting>
  <conditionalFormatting sqref="F11 F19">
    <cfRule type="containsBlanks" dxfId="645" priority="147">
      <formula>LEN(TRIM(F11))=0</formula>
    </cfRule>
    <cfRule type="aboveAverage" dxfId="644" priority="148"/>
  </conditionalFormatting>
  <conditionalFormatting sqref="L155 L157">
    <cfRule type="containsBlanks" dxfId="643" priority="83">
      <formula>LEN(TRIM(L155))=0</formula>
    </cfRule>
  </conditionalFormatting>
  <conditionalFormatting sqref="F27 F35">
    <cfRule type="containsBlanks" dxfId="642" priority="139">
      <formula>LEN(TRIM(F27))=0</formula>
    </cfRule>
    <cfRule type="aboveAverage" dxfId="641" priority="140"/>
  </conditionalFormatting>
  <conditionalFormatting sqref="H78 H86">
    <cfRule type="containsBlanks" dxfId="640" priority="131">
      <formula>LEN(TRIM(H78))=0</formula>
    </cfRule>
    <cfRule type="aboveAverage" dxfId="639" priority="132"/>
  </conditionalFormatting>
  <conditionalFormatting sqref="I75 I82">
    <cfRule type="containsBlanks" dxfId="638" priority="123">
      <formula>LEN(TRIM(I75))=0</formula>
    </cfRule>
    <cfRule type="aboveAverage" dxfId="637" priority="124"/>
  </conditionalFormatting>
  <conditionalFormatting sqref="G15 G31">
    <cfRule type="containsBlanks" dxfId="636" priority="115">
      <formula>LEN(TRIM(G15))=0</formula>
    </cfRule>
    <cfRule type="aboveAverage" dxfId="635" priority="116"/>
  </conditionalFormatting>
  <conditionalFormatting sqref="H23 H56">
    <cfRule type="containsBlanks" dxfId="634" priority="107">
      <formula>LEN(TRIM(H23))=0</formula>
    </cfRule>
    <cfRule type="aboveAverage" dxfId="633" priority="108"/>
  </conditionalFormatting>
  <conditionalFormatting sqref="J79 J95">
    <cfRule type="containsBlanks" dxfId="632" priority="103">
      <formula>LEN(TRIM(J79))=0</formula>
    </cfRule>
    <cfRule type="aboveAverage" dxfId="631" priority="104"/>
  </conditionalFormatting>
  <conditionalFormatting sqref="K73 K87">
    <cfRule type="containsBlanks" dxfId="630" priority="99">
      <formula>LEN(TRIM(K73))=0</formula>
    </cfRule>
    <cfRule type="aboveAverage" dxfId="629" priority="100"/>
  </conditionalFormatting>
  <conditionalFormatting sqref="L40 L80">
    <cfRule type="containsBlanks" dxfId="628" priority="95">
      <formula>LEN(TRIM(L40))=0</formula>
    </cfRule>
    <cfRule type="aboveAverage" dxfId="627" priority="96"/>
  </conditionalFormatting>
  <conditionalFormatting sqref="N159 N161">
    <cfRule type="aboveAverage" dxfId="626" priority="92"/>
  </conditionalFormatting>
  <conditionalFormatting sqref="N159 N161">
    <cfRule type="containsBlanks" dxfId="625" priority="91">
      <formula>LEN(TRIM(N159))=0</formula>
    </cfRule>
  </conditionalFormatting>
  <conditionalFormatting sqref="N152">
    <cfRule type="aboveAverage" dxfId="624" priority="90"/>
  </conditionalFormatting>
  <conditionalFormatting sqref="N152">
    <cfRule type="containsBlanks" dxfId="623" priority="89">
      <formula>LEN(TRIM(N152))=0</formula>
    </cfRule>
  </conditionalFormatting>
  <conditionalFormatting sqref="N156">
    <cfRule type="aboveAverage" dxfId="622" priority="88"/>
  </conditionalFormatting>
  <conditionalFormatting sqref="N156">
    <cfRule type="containsBlanks" dxfId="621" priority="87">
      <formula>LEN(TRIM(N156))=0</formula>
    </cfRule>
  </conditionalFormatting>
  <conditionalFormatting sqref="L151 L153">
    <cfRule type="aboveAverage" dxfId="620" priority="86"/>
  </conditionalFormatting>
  <conditionalFormatting sqref="L151 L153">
    <cfRule type="containsBlanks" dxfId="619" priority="85">
      <formula>LEN(TRIM(L151))=0</formula>
    </cfRule>
  </conditionalFormatting>
  <conditionalFormatting sqref="L155 L157">
    <cfRule type="aboveAverage" dxfId="618" priority="84"/>
  </conditionalFormatting>
  <conditionalFormatting sqref="N144 N146">
    <cfRule type="containsBlanks" dxfId="617" priority="81">
      <formula>LEN(TRIM(N144))=0</formula>
    </cfRule>
  </conditionalFormatting>
  <conditionalFormatting sqref="N144 N146">
    <cfRule type="aboveAverage" dxfId="616" priority="82"/>
  </conditionalFormatting>
  <conditionalFormatting sqref="B204:B270 B168:B201">
    <cfRule type="containsBlanks" dxfId="615" priority="296">
      <formula>LEN(TRIM(B168))=0</formula>
    </cfRule>
    <cfRule type="duplicateValues" dxfId="614" priority="297"/>
  </conditionalFormatting>
  <conditionalFormatting sqref="F78 F82">
    <cfRule type="containsBlanks" dxfId="613" priority="47">
      <formula>LEN(TRIM(F78))=0</formula>
    </cfRule>
    <cfRule type="aboveAverage" dxfId="612" priority="48"/>
  </conditionalFormatting>
  <conditionalFormatting sqref="F86">
    <cfRule type="aboveAverage" dxfId="611" priority="46"/>
  </conditionalFormatting>
  <conditionalFormatting sqref="F86 F90">
    <cfRule type="aboveAverage" dxfId="610" priority="38"/>
    <cfRule type="containsBlanks" dxfId="609" priority="45">
      <formula>LEN(TRIM(F86))=0</formula>
    </cfRule>
  </conditionalFormatting>
  <conditionalFormatting sqref="F82">
    <cfRule type="aboveAverage" dxfId="608" priority="40"/>
  </conditionalFormatting>
  <conditionalFormatting sqref="F82">
    <cfRule type="containsBlanks" dxfId="607" priority="39">
      <formula>LEN(TRIM(F82))=0</formula>
    </cfRule>
  </conditionalFormatting>
  <conditionalFormatting sqref="F94">
    <cfRule type="aboveAverage" dxfId="606" priority="32"/>
  </conditionalFormatting>
  <conditionalFormatting sqref="F94 F98">
    <cfRule type="aboveAverage" dxfId="605" priority="30"/>
    <cfRule type="containsBlanks" dxfId="604" priority="31">
      <formula>LEN(TRIM(F94))=0</formula>
    </cfRule>
  </conditionalFormatting>
  <conditionalFormatting sqref="F102">
    <cfRule type="aboveAverage" dxfId="603" priority="29"/>
  </conditionalFormatting>
  <conditionalFormatting sqref="F102 F106">
    <cfRule type="aboveAverage" dxfId="602" priority="27"/>
    <cfRule type="containsBlanks" dxfId="601" priority="28">
      <formula>LEN(TRIM(F102))=0</formula>
    </cfRule>
  </conditionalFormatting>
  <conditionalFormatting sqref="H94 H102">
    <cfRule type="containsBlanks" dxfId="600" priority="25">
      <formula>LEN(TRIM(H94))=0</formula>
    </cfRule>
    <cfRule type="aboveAverage" dxfId="599" priority="26"/>
  </conditionalFormatting>
  <conditionalFormatting sqref="I91 I98">
    <cfRule type="containsBlanks" dxfId="598" priority="23">
      <formula>LEN(TRIM(I91))=0</formula>
    </cfRule>
    <cfRule type="aboveAverage" dxfId="597" priority="24"/>
  </conditionalFormatting>
  <conditionalFormatting sqref="F44 F52">
    <cfRule type="containsBlanks" dxfId="596" priority="17">
      <formula>LEN(TRIM(F44))=0</formula>
    </cfRule>
    <cfRule type="aboveAverage" dxfId="595" priority="18"/>
  </conditionalFormatting>
  <conditionalFormatting sqref="F60 F68">
    <cfRule type="containsBlanks" dxfId="594" priority="15">
      <formula>LEN(TRIM(F60))=0</formula>
    </cfRule>
    <cfRule type="aboveAverage" dxfId="593" priority="16"/>
  </conditionalFormatting>
  <conditionalFormatting sqref="G48 G64">
    <cfRule type="containsBlanks" dxfId="592" priority="13">
      <formula>LEN(TRIM(G48))=0</formula>
    </cfRule>
    <cfRule type="aboveAverage" dxfId="591" priority="14"/>
  </conditionalFormatting>
  <conditionalFormatting sqref="E25 E29">
    <cfRule type="containsBlanks" dxfId="590" priority="11">
      <formula>LEN(TRIM(E25))=0</formula>
    </cfRule>
    <cfRule type="aboveAverage" dxfId="589" priority="12"/>
  </conditionalFormatting>
  <conditionalFormatting sqref="E33 E37">
    <cfRule type="containsBlanks" dxfId="588" priority="9">
      <formula>LEN(TRIM(E33))=0</formula>
    </cfRule>
    <cfRule type="aboveAverage" dxfId="587" priority="10"/>
  </conditionalFormatting>
  <conditionalFormatting sqref="E42 E46">
    <cfRule type="containsBlanks" dxfId="586" priority="7">
      <formula>LEN(TRIM(E42))=0</formula>
    </cfRule>
    <cfRule type="aboveAverage" dxfId="585" priority="8"/>
  </conditionalFormatting>
  <conditionalFormatting sqref="E50 E54">
    <cfRule type="containsBlanks" dxfId="584" priority="5">
      <formula>LEN(TRIM(E50))=0</formula>
    </cfRule>
    <cfRule type="aboveAverage" dxfId="583" priority="6"/>
  </conditionalFormatting>
  <conditionalFormatting sqref="E58 E62">
    <cfRule type="containsBlanks" dxfId="582" priority="3">
      <formula>LEN(TRIM(E58))=0</formula>
    </cfRule>
    <cfRule type="aboveAverage" dxfId="581" priority="4"/>
  </conditionalFormatting>
  <conditionalFormatting sqref="E66 E70">
    <cfRule type="containsBlanks" dxfId="580" priority="1">
      <formula>LEN(TRIM(E66))=0</formula>
    </cfRule>
    <cfRule type="aboveAverage" dxfId="579" priority="2"/>
  </conditionalFormatting>
  <pageMargins left="0.39370078740157483" right="0.31496062992125984" top="0.59055118110236227" bottom="0.39370078740157483" header="0.39370078740157483" footer="0"/>
  <pageSetup paperSize="9" fitToHeight="0" orientation="landscape" r:id="rId1"/>
  <headerFooter>
    <oddHeader>&amp;R&amp;"Arial,Regular"&amp;9Page &amp;P of &amp;N</oddHeader>
  </headerFooter>
  <rowBreaks count="5" manualBreakCount="5">
    <brk id="38" max="14" man="1"/>
    <brk id="71" max="14" man="1"/>
    <brk id="110" max="14" man="1"/>
    <brk id="125" max="14" man="1"/>
    <brk id="164"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pageSetUpPr fitToPage="1"/>
  </sheetPr>
  <dimension ref="A1:AP317"/>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32" style="32" bestFit="1"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UPPER((Kalend!E22)&amp;" - "&amp;(Kalend!C22)&amp;" - "&amp;(Kalend!D22))</f>
        <v>V4 - VOKA 5. KV 4.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"&amp;(Kalend!A22)&amp;" kell "&amp;(Kalend!B22)</f>
        <v>Toimumisaeg: K, 27.06.2018 kell 18:00</v>
      </c>
      <c r="Y2" s="56" t="s">
        <v>449</v>
      </c>
      <c r="AE2" s="56" t="s">
        <v>449</v>
      </c>
    </row>
    <row r="3" spans="1:42" x14ac:dyDescent="0.2">
      <c r="A3" s="2" t="str">
        <f>"Toimumiskoht: "&amp;(Kalend!F22)</f>
        <v>Toimumiskoht: Voka staadion</v>
      </c>
      <c r="G3" s="1337"/>
      <c r="H3" s="1337"/>
      <c r="I3" s="1338" t="s">
        <v>446</v>
      </c>
      <c r="J3" s="659">
        <v>1</v>
      </c>
      <c r="K3" s="188" t="s">
        <v>493</v>
      </c>
    </row>
    <row r="4" spans="1:42" x14ac:dyDescent="0.2">
      <c r="A4" s="2" t="str">
        <f>"Korraldaja: "&amp;(Kalend!G22)</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51" t="s">
        <v>566</v>
      </c>
      <c r="C8" s="1323">
        <v>13</v>
      </c>
      <c r="D8" s="1324" t="s">
        <v>211</v>
      </c>
      <c r="E8" s="1325">
        <v>7</v>
      </c>
      <c r="F8" s="1315" t="s">
        <v>725</v>
      </c>
      <c r="G8" s="1323">
        <v>13</v>
      </c>
      <c r="H8" s="1324" t="s">
        <v>211</v>
      </c>
      <c r="I8" s="1325">
        <v>11</v>
      </c>
      <c r="J8" s="1315" t="str">
        <f>B9</f>
        <v>Aleksander Korikov, Väino Aul</v>
      </c>
      <c r="K8" s="1323">
        <v>13</v>
      </c>
      <c r="L8" s="1324" t="s">
        <v>211</v>
      </c>
      <c r="M8" s="1325">
        <v>2</v>
      </c>
      <c r="N8" s="1315" t="str">
        <f>B10</f>
        <v>Elmo Lageda, Tõnu Piik</v>
      </c>
      <c r="O8" s="1323">
        <v>13</v>
      </c>
      <c r="P8" s="1324" t="s">
        <v>211</v>
      </c>
      <c r="Q8" s="1325">
        <v>9</v>
      </c>
      <c r="R8" s="1315" t="str">
        <f>B15</f>
        <v>Tõnu Kapper, Vladimir Ogneštšikov</v>
      </c>
      <c r="S8" s="1323">
        <v>13</v>
      </c>
      <c r="T8" s="1324" t="s">
        <v>211</v>
      </c>
      <c r="U8" s="1325">
        <v>6</v>
      </c>
      <c r="V8" s="1315" t="str">
        <f>B11</f>
        <v>Jaan Sepp, Melika Lehtla</v>
      </c>
      <c r="W8" s="1323"/>
      <c r="X8" s="1324" t="s">
        <v>211</v>
      </c>
      <c r="Y8" s="1325"/>
      <c r="Z8" s="1315"/>
      <c r="AA8" s="1330">
        <f t="shared" ref="AA8:AA20" si="0">IF(C8&gt;E8,J$3,IF(C8&lt;E8,J$5,IF(ISNUMBER(C8),J$4,0)))+IF(G8&gt;I8,J$3,IF(G8&lt;I8,J$5,IF(ISNUMBER(G8),J$4,0)))+IF(K8&gt;M8,J$3,IF(K8&lt;M8,J$5,IF(ISNUMBER(K8),J$4,0)))+IF(O8&gt;Q8,J$3,IF(O8&lt;Q8,J$5,IF(ISNUMBER(O8),J$4,0)))+IF(S8&gt;U8,J$3,IF(S8&lt;U8,J$5,IF(ISNUMBER(S8),J$4,0)))+IF(W8&gt;Y8,J$3,IF(W8&lt;Y8,J$5,IF(ISNUMBER(W8),J$4,0)))</f>
        <v>5</v>
      </c>
      <c r="AB8" s="1331"/>
      <c r="AC8" s="1323">
        <f t="shared" ref="AC8:AC20" si="1">C8+G8+K8+O8+S8+W8</f>
        <v>65</v>
      </c>
      <c r="AD8" s="1324" t="s">
        <v>211</v>
      </c>
      <c r="AE8" s="1326">
        <f t="shared" ref="AE8:AE20" si="2">E8+I8+M8+Q8+U8+Y8</f>
        <v>35</v>
      </c>
      <c r="AF8" s="1327">
        <f t="shared" ref="AF8:AF20" si="3">AC8-AE8</f>
        <v>30</v>
      </c>
      <c r="AG8" s="663"/>
      <c r="AH8" s="499">
        <f t="shared" ref="AH8" si="4">SUM(AJ8:AP8)</f>
        <v>154</v>
      </c>
      <c r="AI8" s="605" t="str">
        <f t="shared" ref="AI8:AI20" si="5">IFERROR(LEFT($B8,(FIND(",",$B8,1)-1)),"")</f>
        <v>Boriss Klubov</v>
      </c>
      <c r="AJ8" s="604">
        <f>IFERROR(INDEX(V!$N:$N,MATCH(AI8,V!$I:$I,0)),"")</f>
        <v>65</v>
      </c>
      <c r="AK8" s="605" t="str">
        <f t="shared" ref="AK8:AK20" si="6">IFERROR(MID($B8,FIND(", ",$B8)+2,256),"")</f>
        <v>Mait Metsla</v>
      </c>
      <c r="AL8" s="604">
        <f>IFERROR(INDEX(V!$N:$N,MATCH(AK8,V!$I:$I,0)),"")</f>
        <v>89</v>
      </c>
      <c r="AM8" s="603" t="str">
        <f t="shared" ref="AM8:AM20" si="7">IFERROR(MID($B8,FIND("^",SUBSTITUTE($B8,", ","^",1))+2,FIND("^",SUBSTITUTE($B8,", ","^",2))-FIND("^",SUBSTITUTE($B8,", ","^",1))-2),"")</f>
        <v/>
      </c>
      <c r="AN8" s="604" t="str">
        <f>IFERROR(INDEX(V!$N:$N,MATCH(AM8,V!$I:$I,0)),"")</f>
        <v/>
      </c>
      <c r="AO8" s="603" t="str">
        <f t="shared" ref="AO8:AO20" si="8">IFERROR(MID($B8,FIND(", ",$B8,FIND(", ",$B8,FIND(", ",$B8))+1)+2,700),"")</f>
        <v/>
      </c>
      <c r="AP8" s="604" t="str">
        <f>IFERROR(INDEX(V!$N:$N,MATCH(AO8,V!$I:$I,0)),"")</f>
        <v/>
      </c>
    </row>
    <row r="9" spans="1:42" ht="12.75" customHeight="1" x14ac:dyDescent="0.2">
      <c r="A9" s="1319">
        <v>2</v>
      </c>
      <c r="B9" s="1351" t="s">
        <v>567</v>
      </c>
      <c r="C9" s="1323">
        <v>13</v>
      </c>
      <c r="D9" s="1324" t="s">
        <v>211</v>
      </c>
      <c r="E9" s="1325">
        <v>4</v>
      </c>
      <c r="F9" s="1315" t="str">
        <f>B11</f>
        <v>Jaan Sepp, Melika Lehtla</v>
      </c>
      <c r="G9" s="1323">
        <v>11</v>
      </c>
      <c r="H9" s="1324" t="s">
        <v>211</v>
      </c>
      <c r="I9" s="1325">
        <v>13</v>
      </c>
      <c r="J9" s="1315" t="str">
        <f>B8</f>
        <v>Boriss Klubov, Mait Metsla</v>
      </c>
      <c r="K9" s="1323">
        <v>13</v>
      </c>
      <c r="L9" s="1324" t="s">
        <v>211</v>
      </c>
      <c r="M9" s="1325">
        <v>8</v>
      </c>
      <c r="N9" s="1315" t="str">
        <f>B14</f>
        <v>Oksana Sažina, Oleg Rõndenkov</v>
      </c>
      <c r="O9" s="1323">
        <v>13</v>
      </c>
      <c r="P9" s="1324" t="s">
        <v>211</v>
      </c>
      <c r="Q9" s="1325">
        <v>6</v>
      </c>
      <c r="R9" s="1315" t="str">
        <f>B13</f>
        <v>Henri Mitt, Urmas Jõeäär</v>
      </c>
      <c r="S9" s="1323">
        <v>12</v>
      </c>
      <c r="T9" s="1324" t="s">
        <v>211</v>
      </c>
      <c r="U9" s="1325">
        <v>13</v>
      </c>
      <c r="V9" s="1315" t="str">
        <f>B10</f>
        <v>Elmo Lageda, Tõnu Piik</v>
      </c>
      <c r="W9" s="1323"/>
      <c r="X9" s="1324" t="s">
        <v>211</v>
      </c>
      <c r="Y9" s="1325"/>
      <c r="Z9" s="1315"/>
      <c r="AA9" s="1335">
        <f t="shared" si="0"/>
        <v>3</v>
      </c>
      <c r="AB9" s="1331"/>
      <c r="AC9" s="1323">
        <f t="shared" si="1"/>
        <v>62</v>
      </c>
      <c r="AD9" s="1324" t="s">
        <v>211</v>
      </c>
      <c r="AE9" s="1326">
        <f t="shared" si="2"/>
        <v>44</v>
      </c>
      <c r="AF9" s="1327">
        <f t="shared" si="3"/>
        <v>18</v>
      </c>
      <c r="AG9" s="663"/>
      <c r="AH9" s="499">
        <f t="shared" ref="AH9:AH18" si="9">SUM(AJ9:AP9)</f>
        <v>62</v>
      </c>
      <c r="AI9" s="605" t="str">
        <f t="shared" si="5"/>
        <v>Aleksander Korikov</v>
      </c>
      <c r="AJ9" s="604">
        <f>IFERROR(INDEX(V!$N:$N,MATCH(AI9,V!$I:$I,0)),"")</f>
        <v>26</v>
      </c>
      <c r="AK9" s="605" t="str">
        <f t="shared" si="6"/>
        <v>Väino Aul</v>
      </c>
      <c r="AL9" s="604">
        <f>IFERROR(INDEX(V!$N:$N,MATCH(AK9,V!$I:$I,0)),"")</f>
        <v>36</v>
      </c>
      <c r="AM9" s="603" t="str">
        <f t="shared" si="7"/>
        <v/>
      </c>
      <c r="AN9" s="604" t="str">
        <f>IFERROR(INDEX(V!$N:$N,MATCH(AM9,V!$I:$I,0)),"")</f>
        <v/>
      </c>
      <c r="AO9" s="603" t="str">
        <f t="shared" si="8"/>
        <v/>
      </c>
      <c r="AP9" s="604" t="str">
        <f>IFERROR(INDEX(V!$N:$N,MATCH(AO9,V!$I:$I,0)),"")</f>
        <v/>
      </c>
    </row>
    <row r="10" spans="1:42" ht="12.75" customHeight="1" x14ac:dyDescent="0.2">
      <c r="A10" s="1319">
        <v>3</v>
      </c>
      <c r="B10" s="1352" t="s">
        <v>33</v>
      </c>
      <c r="C10" s="1323">
        <v>13</v>
      </c>
      <c r="D10" s="1324" t="s">
        <v>211</v>
      </c>
      <c r="E10" s="1325">
        <v>9</v>
      </c>
      <c r="F10" s="1315" t="str">
        <f>B19</f>
        <v>Enn Tokman, Tarmo Bombe</v>
      </c>
      <c r="G10" s="1323">
        <v>13</v>
      </c>
      <c r="H10" s="1324" t="s">
        <v>211</v>
      </c>
      <c r="I10" s="1325">
        <v>9</v>
      </c>
      <c r="J10" s="1315" t="str">
        <f>B20</f>
        <v>Karla Purgats, Lemmit Toomra</v>
      </c>
      <c r="K10" s="1323">
        <v>2</v>
      </c>
      <c r="L10" s="1324" t="s">
        <v>211</v>
      </c>
      <c r="M10" s="1325">
        <v>13</v>
      </c>
      <c r="N10" s="1315" t="str">
        <f>B8</f>
        <v>Boriss Klubov, Mait Metsla</v>
      </c>
      <c r="O10" s="1323">
        <v>12</v>
      </c>
      <c r="P10" s="1324" t="s">
        <v>211</v>
      </c>
      <c r="Q10" s="1325">
        <v>13</v>
      </c>
      <c r="R10" s="1315" t="str">
        <f>B17</f>
        <v>Andres Veski, Svetlana Veski</v>
      </c>
      <c r="S10" s="1323">
        <v>13</v>
      </c>
      <c r="T10" s="1324" t="s">
        <v>211</v>
      </c>
      <c r="U10" s="1325">
        <v>12</v>
      </c>
      <c r="V10" s="1315" t="str">
        <f>B9</f>
        <v>Aleksander Korikov, Väino Aul</v>
      </c>
      <c r="W10" s="1323"/>
      <c r="X10" s="1324" t="s">
        <v>211</v>
      </c>
      <c r="Y10" s="1325"/>
      <c r="Z10" s="1315"/>
      <c r="AA10" s="1335">
        <f t="shared" si="0"/>
        <v>3</v>
      </c>
      <c r="AB10" s="1331"/>
      <c r="AC10" s="1323">
        <f t="shared" si="1"/>
        <v>53</v>
      </c>
      <c r="AD10" s="1324" t="s">
        <v>211</v>
      </c>
      <c r="AE10" s="1326">
        <f t="shared" si="2"/>
        <v>56</v>
      </c>
      <c r="AF10" s="1327">
        <f t="shared" si="3"/>
        <v>-3</v>
      </c>
      <c r="AG10" s="663"/>
      <c r="AH10" s="499">
        <f t="shared" si="9"/>
        <v>180</v>
      </c>
      <c r="AI10" s="605" t="str">
        <f t="shared" si="5"/>
        <v>Elmo Lageda</v>
      </c>
      <c r="AJ10" s="604">
        <f>IFERROR(INDEX(V!$N:$N,MATCH(AI10,V!$I:$I,0)),"")</f>
        <v>91</v>
      </c>
      <c r="AK10" s="605" t="str">
        <f t="shared" si="6"/>
        <v>Tõnu Piik</v>
      </c>
      <c r="AL10" s="604">
        <f>IFERROR(INDEX(V!$N:$N,MATCH(AK10,V!$I:$I,0)),"")</f>
        <v>89</v>
      </c>
      <c r="AM10" s="603" t="str">
        <f t="shared" si="7"/>
        <v/>
      </c>
      <c r="AN10" s="604" t="str">
        <f>IFERROR(INDEX(V!$N:$N,MATCH(AM10,V!$I:$I,0)),"")</f>
        <v/>
      </c>
      <c r="AO10" s="603" t="str">
        <f t="shared" si="8"/>
        <v/>
      </c>
      <c r="AP10" s="604" t="str">
        <f>IFERROR(INDEX(V!$N:$N,MATCH(AO10,V!$I:$I,0)),"")</f>
        <v/>
      </c>
    </row>
    <row r="11" spans="1:42" ht="12.75" customHeight="1" x14ac:dyDescent="0.2">
      <c r="A11" s="1319">
        <v>4</v>
      </c>
      <c r="B11" s="1352" t="s">
        <v>568</v>
      </c>
      <c r="C11" s="1323">
        <v>4</v>
      </c>
      <c r="D11" s="1324" t="s">
        <v>211</v>
      </c>
      <c r="E11" s="1325">
        <v>13</v>
      </c>
      <c r="F11" s="1315" t="str">
        <f>B9</f>
        <v>Aleksander Korikov, Väino Aul</v>
      </c>
      <c r="G11" s="1323">
        <v>13</v>
      </c>
      <c r="H11" s="1324" t="s">
        <v>211</v>
      </c>
      <c r="I11" s="1325">
        <v>5</v>
      </c>
      <c r="J11" s="1315" t="str">
        <f>B19</f>
        <v>Enn Tokman, Tarmo Bombe</v>
      </c>
      <c r="K11" s="1323">
        <v>13</v>
      </c>
      <c r="L11" s="1324" t="s">
        <v>211</v>
      </c>
      <c r="M11" s="1325">
        <v>8</v>
      </c>
      <c r="N11" s="1315" t="str">
        <f>B15</f>
        <v>Tõnu Kapper, Vladimir Ogneštšikov</v>
      </c>
      <c r="O11" s="1323">
        <v>13</v>
      </c>
      <c r="P11" s="1324" t="s">
        <v>211</v>
      </c>
      <c r="Q11" s="1325">
        <v>12</v>
      </c>
      <c r="R11" s="1315" t="str">
        <f>B12</f>
        <v>Kenneth Muusikus, Peep Peenema</v>
      </c>
      <c r="S11" s="1323">
        <v>6</v>
      </c>
      <c r="T11" s="1324" t="s">
        <v>211</v>
      </c>
      <c r="U11" s="1325">
        <v>13</v>
      </c>
      <c r="V11" s="1315" t="str">
        <f>B8</f>
        <v>Boriss Klubov, Mait Metsla</v>
      </c>
      <c r="W11" s="1323"/>
      <c r="X11" s="1324" t="s">
        <v>211</v>
      </c>
      <c r="Y11" s="1325"/>
      <c r="Z11" s="1315"/>
      <c r="AA11" s="1335">
        <f t="shared" si="0"/>
        <v>3</v>
      </c>
      <c r="AB11" s="1331"/>
      <c r="AC11" s="1323">
        <f t="shared" si="1"/>
        <v>49</v>
      </c>
      <c r="AD11" s="1324" t="s">
        <v>211</v>
      </c>
      <c r="AE11" s="1326">
        <f t="shared" si="2"/>
        <v>51</v>
      </c>
      <c r="AF11" s="1327">
        <f t="shared" si="3"/>
        <v>-2</v>
      </c>
      <c r="AG11" s="663"/>
      <c r="AH11" s="499">
        <f t="shared" si="9"/>
        <v>118</v>
      </c>
      <c r="AI11" s="605" t="str">
        <f t="shared" si="5"/>
        <v>Jaan Sepp</v>
      </c>
      <c r="AJ11" s="604">
        <f>IFERROR(INDEX(V!$N:$N,MATCH(AI11,V!$I:$I,0)),"")</f>
        <v>98</v>
      </c>
      <c r="AK11" s="605" t="str">
        <f t="shared" si="6"/>
        <v>Melika Lehtla</v>
      </c>
      <c r="AL11" s="604">
        <f>IFERROR(INDEX(V!$N:$N,MATCH(AK11,V!$I:$I,0)),"")</f>
        <v>20</v>
      </c>
      <c r="AM11" s="603" t="str">
        <f t="shared" si="7"/>
        <v/>
      </c>
      <c r="AN11" s="604" t="str">
        <f>IFERROR(INDEX(V!$N:$N,MATCH(AM11,V!$I:$I,0)),"")</f>
        <v/>
      </c>
      <c r="AO11" s="603" t="str">
        <f t="shared" si="8"/>
        <v/>
      </c>
      <c r="AP11" s="604" t="str">
        <f>IFERROR(INDEX(V!$N:$N,MATCH(AO11,V!$I:$I,0)),"")</f>
        <v/>
      </c>
    </row>
    <row r="12" spans="1:42" ht="12.75" customHeight="1" x14ac:dyDescent="0.2">
      <c r="A12" s="1319">
        <v>5</v>
      </c>
      <c r="B12" s="1352" t="s">
        <v>761</v>
      </c>
      <c r="C12" s="1323">
        <v>10</v>
      </c>
      <c r="D12" s="1324" t="s">
        <v>211</v>
      </c>
      <c r="E12" s="1325">
        <v>13</v>
      </c>
      <c r="F12" s="1315" t="str">
        <f>B20</f>
        <v>Karla Purgats, Lemmit Toomra</v>
      </c>
      <c r="G12" s="1323">
        <v>13</v>
      </c>
      <c r="H12" s="1324" t="s">
        <v>211</v>
      </c>
      <c r="I12" s="1325">
        <v>8</v>
      </c>
      <c r="J12" s="1315" t="str">
        <f>B14</f>
        <v>Oksana Sažina, Oleg Rõndenkov</v>
      </c>
      <c r="K12" s="1323">
        <v>13</v>
      </c>
      <c r="L12" s="1324" t="s">
        <v>211</v>
      </c>
      <c r="M12" s="1325">
        <v>3</v>
      </c>
      <c r="N12" s="1315" t="str">
        <f>B17</f>
        <v>Andres Veski, Svetlana Veski</v>
      </c>
      <c r="O12" s="1323">
        <v>12</v>
      </c>
      <c r="P12" s="1324" t="s">
        <v>211</v>
      </c>
      <c r="Q12" s="1325">
        <v>13</v>
      </c>
      <c r="R12" s="1315" t="str">
        <f>B11</f>
        <v>Jaan Sepp, Melika Lehtla</v>
      </c>
      <c r="S12" s="1323">
        <v>13</v>
      </c>
      <c r="T12" s="1324" t="s">
        <v>211</v>
      </c>
      <c r="U12" s="1325">
        <v>7</v>
      </c>
      <c r="V12" s="1315" t="str">
        <f>B16</f>
        <v>Meelis Luud, Urmas Randlaine</v>
      </c>
      <c r="W12" s="1323"/>
      <c r="X12" s="1324" t="s">
        <v>211</v>
      </c>
      <c r="Y12" s="1325"/>
      <c r="Z12" s="1315"/>
      <c r="AA12" s="1335">
        <f t="shared" si="0"/>
        <v>3</v>
      </c>
      <c r="AB12" s="1331"/>
      <c r="AC12" s="1323">
        <f t="shared" si="1"/>
        <v>61</v>
      </c>
      <c r="AD12" s="1324" t="s">
        <v>211</v>
      </c>
      <c r="AE12" s="1326">
        <f t="shared" si="2"/>
        <v>44</v>
      </c>
      <c r="AF12" s="1327">
        <f t="shared" si="3"/>
        <v>17</v>
      </c>
      <c r="AG12" s="663"/>
      <c r="AH12" s="499">
        <f t="shared" si="9"/>
        <v>111.5</v>
      </c>
      <c r="AI12" s="605" t="str">
        <f t="shared" si="5"/>
        <v>Kenneth Muusikus</v>
      </c>
      <c r="AJ12" s="604">
        <f>IFERROR(INDEX(V!$N:$N,MATCH(AI12,V!$I:$I,0)),"")</f>
        <v>87</v>
      </c>
      <c r="AK12" s="605" t="str">
        <f t="shared" si="6"/>
        <v>Peep Peenema</v>
      </c>
      <c r="AL12" s="604">
        <f>IFERROR(INDEX(V!$N:$N,MATCH(AK12,V!$I:$I,0)),"")</f>
        <v>24.5</v>
      </c>
      <c r="AM12" s="603" t="str">
        <f t="shared" si="7"/>
        <v/>
      </c>
      <c r="AN12" s="604" t="str">
        <f>IFERROR(INDEX(V!$N:$N,MATCH(AM12,V!$I:$I,0)),"")</f>
        <v/>
      </c>
      <c r="AO12" s="603" t="str">
        <f t="shared" si="8"/>
        <v/>
      </c>
      <c r="AP12" s="604" t="str">
        <f>IFERROR(INDEX(V!$N:$N,MATCH(AO12,V!$I:$I,0)),"")</f>
        <v/>
      </c>
    </row>
    <row r="13" spans="1:42" ht="12.75" customHeight="1" x14ac:dyDescent="0.2">
      <c r="A13" s="1319">
        <v>6</v>
      </c>
      <c r="B13" s="1352" t="s">
        <v>444</v>
      </c>
      <c r="C13" s="1323">
        <v>13</v>
      </c>
      <c r="D13" s="1324" t="s">
        <v>211</v>
      </c>
      <c r="E13" s="1325">
        <v>10</v>
      </c>
      <c r="F13" s="1315" t="str">
        <f>B18</f>
        <v>Brigitta Neiland, Johannes Neiland</v>
      </c>
      <c r="G13" s="1323">
        <v>9</v>
      </c>
      <c r="H13" s="1324" t="s">
        <v>211</v>
      </c>
      <c r="I13" s="1325">
        <v>13</v>
      </c>
      <c r="J13" s="1315" t="str">
        <f>B15</f>
        <v>Tõnu Kapper, Vladimir Ogneštšikov</v>
      </c>
      <c r="K13" s="1323">
        <v>13</v>
      </c>
      <c r="L13" s="1324" t="s">
        <v>211</v>
      </c>
      <c r="M13" s="1325">
        <v>4</v>
      </c>
      <c r="N13" s="1315" t="str">
        <f>B16</f>
        <v>Meelis Luud, Urmas Randlaine</v>
      </c>
      <c r="O13" s="1323">
        <v>6</v>
      </c>
      <c r="P13" s="1324" t="s">
        <v>211</v>
      </c>
      <c r="Q13" s="1325">
        <v>13</v>
      </c>
      <c r="R13" s="1315" t="str">
        <f>B9</f>
        <v>Aleksander Korikov, Väino Aul</v>
      </c>
      <c r="S13" s="1323">
        <v>13</v>
      </c>
      <c r="T13" s="1324" t="s">
        <v>211</v>
      </c>
      <c r="U13" s="1325">
        <v>11</v>
      </c>
      <c r="V13" s="1315" t="str">
        <f>B17</f>
        <v>Andres Veski, Svetlana Veski</v>
      </c>
      <c r="W13" s="1323"/>
      <c r="X13" s="1324" t="s">
        <v>211</v>
      </c>
      <c r="Y13" s="1325"/>
      <c r="Z13" s="1315"/>
      <c r="AA13" s="1335">
        <f t="shared" si="0"/>
        <v>3</v>
      </c>
      <c r="AB13" s="1331"/>
      <c r="AC13" s="1323">
        <f t="shared" si="1"/>
        <v>54</v>
      </c>
      <c r="AD13" s="1324" t="s">
        <v>211</v>
      </c>
      <c r="AE13" s="1326">
        <f t="shared" si="2"/>
        <v>51</v>
      </c>
      <c r="AF13" s="1327">
        <f t="shared" si="3"/>
        <v>3</v>
      </c>
      <c r="AG13" s="663"/>
      <c r="AH13" s="499">
        <f t="shared" si="9"/>
        <v>114</v>
      </c>
      <c r="AI13" s="605" t="str">
        <f t="shared" si="5"/>
        <v>Henri Mitt</v>
      </c>
      <c r="AJ13" s="604">
        <f>IFERROR(INDEX(V!$N:$N,MATCH(AI13,V!$I:$I,0)),"")</f>
        <v>46.5</v>
      </c>
      <c r="AK13" s="605" t="str">
        <f t="shared" si="6"/>
        <v>Urmas Jõeäär</v>
      </c>
      <c r="AL13" s="604">
        <f>IFERROR(INDEX(V!$N:$N,MATCH(AK13,V!$I:$I,0)),"")</f>
        <v>67.5</v>
      </c>
      <c r="AM13" s="603" t="str">
        <f t="shared" si="7"/>
        <v/>
      </c>
      <c r="AN13" s="604" t="str">
        <f>IFERROR(INDEX(V!$N:$N,MATCH(AM13,V!$I:$I,0)),"")</f>
        <v/>
      </c>
      <c r="AO13" s="603" t="str">
        <f t="shared" si="8"/>
        <v/>
      </c>
      <c r="AP13" s="604" t="str">
        <f>IFERROR(INDEX(V!$N:$N,MATCH(AO13,V!$I:$I,0)),"")</f>
        <v/>
      </c>
    </row>
    <row r="14" spans="1:42" ht="12.75" customHeight="1" x14ac:dyDescent="0.2">
      <c r="A14" s="1319">
        <v>7</v>
      </c>
      <c r="B14" s="1352" t="s">
        <v>35</v>
      </c>
      <c r="C14" s="1323">
        <v>13</v>
      </c>
      <c r="D14" s="1324" t="s">
        <v>211</v>
      </c>
      <c r="E14" s="1325">
        <v>6</v>
      </c>
      <c r="F14" s="1315" t="str">
        <f>B16</f>
        <v>Meelis Luud, Urmas Randlaine</v>
      </c>
      <c r="G14" s="1323">
        <v>8</v>
      </c>
      <c r="H14" s="1324" t="s">
        <v>211</v>
      </c>
      <c r="I14" s="1325">
        <v>13</v>
      </c>
      <c r="J14" s="1315" t="str">
        <f>B12</f>
        <v>Kenneth Muusikus, Peep Peenema</v>
      </c>
      <c r="K14" s="1323">
        <v>8</v>
      </c>
      <c r="L14" s="1324" t="s">
        <v>211</v>
      </c>
      <c r="M14" s="1325">
        <v>13</v>
      </c>
      <c r="N14" s="1315" t="str">
        <f>B9</f>
        <v>Aleksander Korikov, Väino Aul</v>
      </c>
      <c r="O14" s="1323">
        <v>13</v>
      </c>
      <c r="P14" s="1324" t="s">
        <v>211</v>
      </c>
      <c r="Q14" s="1325">
        <v>5</v>
      </c>
      <c r="R14" s="1315" t="str">
        <f>B18</f>
        <v>Brigitta Neiland, Johannes Neiland</v>
      </c>
      <c r="S14" s="1323">
        <v>13</v>
      </c>
      <c r="T14" s="1324" t="s">
        <v>211</v>
      </c>
      <c r="U14" s="1325">
        <v>8</v>
      </c>
      <c r="V14" s="1315" t="str">
        <f>B15</f>
        <v>Tõnu Kapper, Vladimir Ogneštšikov</v>
      </c>
      <c r="W14" s="1323"/>
      <c r="X14" s="1324" t="s">
        <v>211</v>
      </c>
      <c r="Y14" s="1325"/>
      <c r="Z14" s="1315"/>
      <c r="AA14" s="1335">
        <f t="shared" si="0"/>
        <v>3</v>
      </c>
      <c r="AB14" s="1331"/>
      <c r="AC14" s="1323">
        <f t="shared" si="1"/>
        <v>55</v>
      </c>
      <c r="AD14" s="1324" t="s">
        <v>211</v>
      </c>
      <c r="AE14" s="1326">
        <f t="shared" si="2"/>
        <v>45</v>
      </c>
      <c r="AF14" s="1327">
        <f t="shared" si="3"/>
        <v>10</v>
      </c>
      <c r="AG14" s="663"/>
      <c r="AH14" s="499">
        <f t="shared" si="9"/>
        <v>137</v>
      </c>
      <c r="AI14" s="605" t="str">
        <f t="shared" si="5"/>
        <v>Oksana Sažina</v>
      </c>
      <c r="AJ14" s="604">
        <f>IFERROR(INDEX(V!$N:$N,MATCH(AI14,V!$I:$I,0)),"")</f>
        <v>72</v>
      </c>
      <c r="AK14" s="605" t="str">
        <f t="shared" si="6"/>
        <v>Oleg Rõndenkov</v>
      </c>
      <c r="AL14" s="604">
        <f>IFERROR(INDEX(V!$N:$N,MATCH(AK14,V!$I:$I,0)),"")</f>
        <v>65</v>
      </c>
      <c r="AM14" s="603" t="str">
        <f t="shared" si="7"/>
        <v/>
      </c>
      <c r="AN14" s="604" t="str">
        <f>IFERROR(INDEX(V!$N:$N,MATCH(AM14,V!$I:$I,0)),"")</f>
        <v/>
      </c>
      <c r="AO14" s="603" t="str">
        <f t="shared" si="8"/>
        <v/>
      </c>
      <c r="AP14" s="604" t="str">
        <f>IFERROR(INDEX(V!$N:$N,MATCH(AO14,V!$I:$I,0)),"")</f>
        <v/>
      </c>
    </row>
    <row r="15" spans="1:42" ht="12.75" customHeight="1" x14ac:dyDescent="0.2">
      <c r="A15" s="1319">
        <v>8</v>
      </c>
      <c r="B15" s="1352" t="s">
        <v>38</v>
      </c>
      <c r="C15" s="1323">
        <v>13</v>
      </c>
      <c r="D15" s="1324" t="s">
        <v>211</v>
      </c>
      <c r="E15" s="1325">
        <v>6</v>
      </c>
      <c r="F15" s="1315" t="str">
        <f>B17</f>
        <v>Andres Veski, Svetlana Veski</v>
      </c>
      <c r="G15" s="1323">
        <v>13</v>
      </c>
      <c r="H15" s="1324" t="s">
        <v>211</v>
      </c>
      <c r="I15" s="1325">
        <v>9</v>
      </c>
      <c r="J15" s="1315" t="str">
        <f>B13</f>
        <v>Henri Mitt, Urmas Jõeäär</v>
      </c>
      <c r="K15" s="1323">
        <v>8</v>
      </c>
      <c r="L15" s="1324" t="s">
        <v>211</v>
      </c>
      <c r="M15" s="1325">
        <v>13</v>
      </c>
      <c r="N15" s="1315" t="str">
        <f>B11</f>
        <v>Jaan Sepp, Melika Lehtla</v>
      </c>
      <c r="O15" s="1323">
        <v>9</v>
      </c>
      <c r="P15" s="1324" t="s">
        <v>211</v>
      </c>
      <c r="Q15" s="1325">
        <v>13</v>
      </c>
      <c r="R15" s="1315" t="str">
        <f>B8</f>
        <v>Boriss Klubov, Mait Metsla</v>
      </c>
      <c r="S15" s="1323">
        <v>8</v>
      </c>
      <c r="T15" s="1324" t="s">
        <v>211</v>
      </c>
      <c r="U15" s="1325">
        <v>13</v>
      </c>
      <c r="V15" s="1315" t="str">
        <f>B14</f>
        <v>Oksana Sažina, Oleg Rõndenkov</v>
      </c>
      <c r="W15" s="1323"/>
      <c r="X15" s="1324" t="s">
        <v>211</v>
      </c>
      <c r="Y15" s="1325"/>
      <c r="Z15" s="1315"/>
      <c r="AA15" s="1330">
        <f t="shared" si="0"/>
        <v>2</v>
      </c>
      <c r="AB15" s="1331"/>
      <c r="AC15" s="1323">
        <f t="shared" si="1"/>
        <v>51</v>
      </c>
      <c r="AD15" s="1324" t="s">
        <v>211</v>
      </c>
      <c r="AE15" s="1326">
        <f t="shared" si="2"/>
        <v>54</v>
      </c>
      <c r="AF15" s="1327">
        <f t="shared" si="3"/>
        <v>-3</v>
      </c>
      <c r="AG15" s="663"/>
      <c r="AH15" s="499">
        <f t="shared" si="9"/>
        <v>113</v>
      </c>
      <c r="AI15" s="605" t="str">
        <f t="shared" si="5"/>
        <v>Tõnu Kapper</v>
      </c>
      <c r="AJ15" s="604">
        <f>IFERROR(INDEX(V!$N:$N,MATCH(AI15,V!$I:$I,0)),"")</f>
        <v>65</v>
      </c>
      <c r="AK15" s="605" t="str">
        <f t="shared" si="6"/>
        <v>Vladimir Ogneštšikov</v>
      </c>
      <c r="AL15" s="604">
        <f>IFERROR(INDEX(V!$N:$N,MATCH(AK15,V!$I:$I,0)),"")</f>
        <v>48</v>
      </c>
      <c r="AM15" s="603" t="str">
        <f t="shared" si="7"/>
        <v/>
      </c>
      <c r="AN15" s="604" t="str">
        <f>IFERROR(INDEX(V!$N:$N,MATCH(AM15,V!$I:$I,0)),"")</f>
        <v/>
      </c>
      <c r="AO15" s="603" t="str">
        <f t="shared" si="8"/>
        <v/>
      </c>
      <c r="AP15" s="604" t="str">
        <f>IFERROR(INDEX(V!$N:$N,MATCH(AO15,V!$I:$I,0)),"")</f>
        <v/>
      </c>
    </row>
    <row r="16" spans="1:42" ht="12.75" customHeight="1" x14ac:dyDescent="0.2">
      <c r="A16" s="1319">
        <v>9</v>
      </c>
      <c r="B16" s="1352" t="s">
        <v>439</v>
      </c>
      <c r="C16" s="1323">
        <v>6</v>
      </c>
      <c r="D16" s="1324" t="s">
        <v>211</v>
      </c>
      <c r="E16" s="1325">
        <v>13</v>
      </c>
      <c r="F16" s="1315" t="str">
        <f>B14</f>
        <v>Oksana Sažina, Oleg Rõndenkov</v>
      </c>
      <c r="G16" s="1323">
        <v>13</v>
      </c>
      <c r="H16" s="1324" t="s">
        <v>211</v>
      </c>
      <c r="I16" s="1325">
        <v>7</v>
      </c>
      <c r="J16" s="1315" t="s">
        <v>725</v>
      </c>
      <c r="K16" s="1323">
        <v>4</v>
      </c>
      <c r="L16" s="1324" t="s">
        <v>211</v>
      </c>
      <c r="M16" s="1325">
        <v>13</v>
      </c>
      <c r="N16" s="1315" t="str">
        <f>B13</f>
        <v>Henri Mitt, Urmas Jõeäär</v>
      </c>
      <c r="O16" s="1323">
        <v>13</v>
      </c>
      <c r="P16" s="1324" t="s">
        <v>211</v>
      </c>
      <c r="Q16" s="1325">
        <v>12</v>
      </c>
      <c r="R16" s="1315" t="str">
        <f>B20</f>
        <v>Karla Purgats, Lemmit Toomra</v>
      </c>
      <c r="S16" s="1323">
        <v>7</v>
      </c>
      <c r="T16" s="1324" t="s">
        <v>211</v>
      </c>
      <c r="U16" s="1325">
        <v>13</v>
      </c>
      <c r="V16" s="1315" t="str">
        <f>B12</f>
        <v>Kenneth Muusikus, Peep Peenema</v>
      </c>
      <c r="W16" s="1323"/>
      <c r="X16" s="1324" t="s">
        <v>211</v>
      </c>
      <c r="Y16" s="1325"/>
      <c r="Z16" s="1315"/>
      <c r="AA16" s="1330">
        <f t="shared" si="0"/>
        <v>2</v>
      </c>
      <c r="AB16" s="1331"/>
      <c r="AC16" s="1323">
        <f t="shared" si="1"/>
        <v>43</v>
      </c>
      <c r="AD16" s="1324" t="s">
        <v>211</v>
      </c>
      <c r="AE16" s="1326">
        <f t="shared" si="2"/>
        <v>58</v>
      </c>
      <c r="AF16" s="1327">
        <f t="shared" si="3"/>
        <v>-15</v>
      </c>
      <c r="AG16" s="663"/>
      <c r="AH16" s="499">
        <f t="shared" si="9"/>
        <v>114</v>
      </c>
      <c r="AI16" s="605" t="str">
        <f t="shared" si="5"/>
        <v>Meelis Luud</v>
      </c>
      <c r="AJ16" s="604">
        <f>IFERROR(INDEX(V!$N:$N,MATCH(AI16,V!$I:$I,0)),"")</f>
        <v>60.5</v>
      </c>
      <c r="AK16" s="605" t="str">
        <f t="shared" si="6"/>
        <v>Urmas Randlaine</v>
      </c>
      <c r="AL16" s="604">
        <f>IFERROR(INDEX(V!$N:$N,MATCH(AK16,V!$I:$I,0)),"")</f>
        <v>53.5</v>
      </c>
      <c r="AM16" s="603" t="str">
        <f t="shared" si="7"/>
        <v/>
      </c>
      <c r="AN16" s="604" t="str">
        <f>IFERROR(INDEX(V!$N:$N,MATCH(AM16,V!$I:$I,0)),"")</f>
        <v/>
      </c>
      <c r="AO16" s="603" t="str">
        <f t="shared" si="8"/>
        <v/>
      </c>
      <c r="AP16" s="604" t="str">
        <f>IFERROR(INDEX(V!$N:$N,MATCH(AO16,V!$I:$I,0)),"")</f>
        <v/>
      </c>
    </row>
    <row r="17" spans="1:42" ht="12.75" customHeight="1" x14ac:dyDescent="0.2">
      <c r="A17" s="1319">
        <v>10</v>
      </c>
      <c r="B17" s="1351" t="s">
        <v>491</v>
      </c>
      <c r="C17" s="1323">
        <v>6</v>
      </c>
      <c r="D17" s="1324" t="s">
        <v>211</v>
      </c>
      <c r="E17" s="1325">
        <v>13</v>
      </c>
      <c r="F17" s="1315" t="str">
        <f>B15</f>
        <v>Tõnu Kapper, Vladimir Ogneštšikov</v>
      </c>
      <c r="G17" s="1323">
        <v>13</v>
      </c>
      <c r="H17" s="1324" t="s">
        <v>211</v>
      </c>
      <c r="I17" s="1325">
        <v>5</v>
      </c>
      <c r="J17" s="1315" t="str">
        <f>B18</f>
        <v>Brigitta Neiland, Johannes Neiland</v>
      </c>
      <c r="K17" s="1323">
        <v>3</v>
      </c>
      <c r="L17" s="1324" t="s">
        <v>211</v>
      </c>
      <c r="M17" s="1325">
        <v>13</v>
      </c>
      <c r="N17" s="1315" t="str">
        <f>B12</f>
        <v>Kenneth Muusikus, Peep Peenema</v>
      </c>
      <c r="O17" s="1323">
        <v>13</v>
      </c>
      <c r="P17" s="1324" t="s">
        <v>211</v>
      </c>
      <c r="Q17" s="1325">
        <v>12</v>
      </c>
      <c r="R17" s="1315" t="str">
        <f>B10</f>
        <v>Elmo Lageda, Tõnu Piik</v>
      </c>
      <c r="S17" s="1323">
        <v>11</v>
      </c>
      <c r="T17" s="1324" t="s">
        <v>211</v>
      </c>
      <c r="U17" s="1325">
        <v>13</v>
      </c>
      <c r="V17" s="1315" t="str">
        <f>B13</f>
        <v>Henri Mitt, Urmas Jõeäär</v>
      </c>
      <c r="W17" s="1323"/>
      <c r="X17" s="1324" t="s">
        <v>211</v>
      </c>
      <c r="Y17" s="1325"/>
      <c r="Z17" s="1315"/>
      <c r="AA17" s="1330">
        <f t="shared" si="0"/>
        <v>2</v>
      </c>
      <c r="AB17" s="1331"/>
      <c r="AC17" s="1323">
        <f t="shared" si="1"/>
        <v>46</v>
      </c>
      <c r="AD17" s="1324" t="s">
        <v>211</v>
      </c>
      <c r="AE17" s="1326">
        <f t="shared" si="2"/>
        <v>56</v>
      </c>
      <c r="AF17" s="1327">
        <f t="shared" si="3"/>
        <v>-10</v>
      </c>
      <c r="AG17" s="663"/>
      <c r="AH17" s="499">
        <f t="shared" si="9"/>
        <v>57</v>
      </c>
      <c r="AI17" s="605" t="str">
        <f t="shared" si="5"/>
        <v>Andres Veski</v>
      </c>
      <c r="AJ17" s="604">
        <f>IFERROR(INDEX(V!$N:$N,MATCH(AI17,V!$I:$I,0)),"")</f>
        <v>29</v>
      </c>
      <c r="AK17" s="605" t="str">
        <f t="shared" si="6"/>
        <v>Svetlana Veski</v>
      </c>
      <c r="AL17" s="604">
        <f>IFERROR(INDEX(V!$N:$N,MATCH(AK17,V!$I:$I,0)),"")</f>
        <v>28</v>
      </c>
      <c r="AM17" s="603" t="str">
        <f t="shared" si="7"/>
        <v/>
      </c>
      <c r="AN17" s="604" t="str">
        <f>IFERROR(INDEX(V!$N:$N,MATCH(AM17,V!$I:$I,0)),"")</f>
        <v/>
      </c>
      <c r="AO17" s="603" t="str">
        <f t="shared" si="8"/>
        <v/>
      </c>
      <c r="AP17" s="604" t="str">
        <f>IFERROR(INDEX(V!$N:$N,MATCH(AO17,V!$I:$I,0)),"")</f>
        <v/>
      </c>
    </row>
    <row r="18" spans="1:42" ht="12.75" customHeight="1" x14ac:dyDescent="0.2">
      <c r="A18" s="1319">
        <v>11</v>
      </c>
      <c r="B18" s="1353" t="s">
        <v>569</v>
      </c>
      <c r="C18" s="1323">
        <v>10</v>
      </c>
      <c r="D18" s="1324" t="s">
        <v>211</v>
      </c>
      <c r="E18" s="1325">
        <v>13</v>
      </c>
      <c r="F18" s="1315" t="str">
        <f>B13</f>
        <v>Henri Mitt, Urmas Jõeäär</v>
      </c>
      <c r="G18" s="1323">
        <v>5</v>
      </c>
      <c r="H18" s="1324" t="s">
        <v>211</v>
      </c>
      <c r="I18" s="1325">
        <v>13</v>
      </c>
      <c r="J18" s="1315" t="str">
        <f>B17</f>
        <v>Andres Veski, Svetlana Veski</v>
      </c>
      <c r="K18" s="1323">
        <v>13</v>
      </c>
      <c r="L18" s="1324" t="s">
        <v>211</v>
      </c>
      <c r="M18" s="1325">
        <v>7</v>
      </c>
      <c r="N18" s="1315" t="s">
        <v>725</v>
      </c>
      <c r="O18" s="1323">
        <v>5</v>
      </c>
      <c r="P18" s="1324" t="s">
        <v>211</v>
      </c>
      <c r="Q18" s="1325">
        <v>13</v>
      </c>
      <c r="R18" s="1315" t="str">
        <f>B14</f>
        <v>Oksana Sažina, Oleg Rõndenkov</v>
      </c>
      <c r="S18" s="1323">
        <v>13</v>
      </c>
      <c r="T18" s="1324" t="s">
        <v>211</v>
      </c>
      <c r="U18" s="1325">
        <v>1</v>
      </c>
      <c r="V18" s="1315" t="str">
        <f>B19</f>
        <v>Enn Tokman, Tarmo Bombe</v>
      </c>
      <c r="W18" s="1323"/>
      <c r="X18" s="1324" t="s">
        <v>211</v>
      </c>
      <c r="Y18" s="1325"/>
      <c r="Z18" s="1315"/>
      <c r="AA18" s="1330">
        <f t="shared" si="0"/>
        <v>2</v>
      </c>
      <c r="AB18" s="1331"/>
      <c r="AC18" s="1323">
        <f t="shared" si="1"/>
        <v>46</v>
      </c>
      <c r="AD18" s="1324" t="s">
        <v>211</v>
      </c>
      <c r="AE18" s="1326">
        <f t="shared" si="2"/>
        <v>47</v>
      </c>
      <c r="AF18" s="1327">
        <f t="shared" si="3"/>
        <v>-1</v>
      </c>
      <c r="AG18" s="663"/>
      <c r="AH18" s="499">
        <f t="shared" si="9"/>
        <v>81.5</v>
      </c>
      <c r="AI18" s="605" t="str">
        <f t="shared" si="5"/>
        <v>Brigitta Neiland</v>
      </c>
      <c r="AJ18" s="604">
        <f>IFERROR(INDEX(V!$N:$N,MATCH(AI18,V!$I:$I,0)),"")</f>
        <v>22.5</v>
      </c>
      <c r="AK18" s="605" t="str">
        <f t="shared" si="6"/>
        <v>Johannes Neiland</v>
      </c>
      <c r="AL18" s="604">
        <f>IFERROR(INDEX(V!$N:$N,MATCH(AK18,V!$I:$I,0)),"")</f>
        <v>59</v>
      </c>
      <c r="AM18" s="603" t="str">
        <f t="shared" si="7"/>
        <v/>
      </c>
      <c r="AN18" s="604" t="str">
        <f>IFERROR(INDEX(V!$N:$N,MATCH(AM18,V!$I:$I,0)),"")</f>
        <v/>
      </c>
      <c r="AO18" s="603" t="str">
        <f t="shared" si="8"/>
        <v/>
      </c>
      <c r="AP18" s="604" t="str">
        <f>IFERROR(INDEX(V!$N:$N,MATCH(AO18,V!$I:$I,0)),"")</f>
        <v/>
      </c>
    </row>
    <row r="19" spans="1:42" ht="12.75" customHeight="1" x14ac:dyDescent="0.2">
      <c r="A19" s="1319">
        <v>12</v>
      </c>
      <c r="B19" s="1353" t="s">
        <v>39</v>
      </c>
      <c r="C19" s="1323">
        <v>9</v>
      </c>
      <c r="D19" s="1324" t="s">
        <v>211</v>
      </c>
      <c r="E19" s="1325">
        <v>13</v>
      </c>
      <c r="F19" s="1315" t="str">
        <f>B10</f>
        <v>Elmo Lageda, Tõnu Piik</v>
      </c>
      <c r="G19" s="1323">
        <v>5</v>
      </c>
      <c r="H19" s="1324" t="s">
        <v>211</v>
      </c>
      <c r="I19" s="1325">
        <v>13</v>
      </c>
      <c r="J19" s="1315" t="str">
        <f>B11</f>
        <v>Jaan Sepp, Melika Lehtla</v>
      </c>
      <c r="K19" s="1323">
        <v>13</v>
      </c>
      <c r="L19" s="1324" t="s">
        <v>211</v>
      </c>
      <c r="M19" s="1325">
        <v>12</v>
      </c>
      <c r="N19" s="1315" t="str">
        <f>B20</f>
        <v>Karla Purgats, Lemmit Toomra</v>
      </c>
      <c r="O19" s="1323">
        <v>13</v>
      </c>
      <c r="P19" s="1324" t="s">
        <v>211</v>
      </c>
      <c r="Q19" s="1325">
        <v>7</v>
      </c>
      <c r="R19" s="1315" t="s">
        <v>725</v>
      </c>
      <c r="S19" s="1323">
        <v>1</v>
      </c>
      <c r="T19" s="1324" t="s">
        <v>211</v>
      </c>
      <c r="U19" s="1325">
        <v>13</v>
      </c>
      <c r="V19" s="1315" t="str">
        <f>B18</f>
        <v>Brigitta Neiland, Johannes Neiland</v>
      </c>
      <c r="W19" s="1323"/>
      <c r="X19" s="1324" t="s">
        <v>211</v>
      </c>
      <c r="Y19" s="1325"/>
      <c r="Z19" s="1315"/>
      <c r="AA19" s="1330">
        <f t="shared" si="0"/>
        <v>2</v>
      </c>
      <c r="AB19" s="1331"/>
      <c r="AC19" s="1323">
        <f t="shared" si="1"/>
        <v>41</v>
      </c>
      <c r="AD19" s="1324" t="s">
        <v>211</v>
      </c>
      <c r="AE19" s="1326">
        <f t="shared" si="2"/>
        <v>58</v>
      </c>
      <c r="AF19" s="1327">
        <f t="shared" si="3"/>
        <v>-17</v>
      </c>
      <c r="AG19" s="663"/>
      <c r="AH19" s="499">
        <f t="shared" ref="AH19:AH20" si="10">SUM(AJ19:AP19)</f>
        <v>65.5</v>
      </c>
      <c r="AI19" s="605" t="str">
        <f t="shared" si="5"/>
        <v>Enn Tokman</v>
      </c>
      <c r="AJ19" s="604">
        <f>IFERROR(INDEX(V!$N:$N,MATCH(AI19,V!$I:$I,0)),"")</f>
        <v>39.5</v>
      </c>
      <c r="AK19" s="605" t="str">
        <f t="shared" si="6"/>
        <v>Tarmo Bombe</v>
      </c>
      <c r="AL19" s="604">
        <f>IFERROR(INDEX(V!$N:$N,MATCH(AK19,V!$I:$I,0)),"")</f>
        <v>26</v>
      </c>
      <c r="AM19" s="603" t="str">
        <f t="shared" si="7"/>
        <v/>
      </c>
      <c r="AN19" s="604" t="str">
        <f>IFERROR(INDEX(V!$N:$N,MATCH(AM19,V!$I:$I,0)),"")</f>
        <v/>
      </c>
      <c r="AO19" s="603" t="str">
        <f t="shared" si="8"/>
        <v/>
      </c>
      <c r="AP19" s="604" t="str">
        <f>IFERROR(INDEX(V!$N:$N,MATCH(AO19,V!$I:$I,0)),"")</f>
        <v/>
      </c>
    </row>
    <row r="20" spans="1:42" ht="12.75" customHeight="1" x14ac:dyDescent="0.2">
      <c r="A20" s="1319">
        <v>13</v>
      </c>
      <c r="B20" s="1353" t="s">
        <v>441</v>
      </c>
      <c r="C20" s="1323">
        <v>13</v>
      </c>
      <c r="D20" s="1324" t="s">
        <v>211</v>
      </c>
      <c r="E20" s="1325">
        <v>10</v>
      </c>
      <c r="F20" s="1315" t="str">
        <f>B12</f>
        <v>Kenneth Muusikus, Peep Peenema</v>
      </c>
      <c r="G20" s="1323">
        <v>9</v>
      </c>
      <c r="H20" s="1324" t="s">
        <v>211</v>
      </c>
      <c r="I20" s="1325">
        <v>13</v>
      </c>
      <c r="J20" s="1315" t="str">
        <f>B10</f>
        <v>Elmo Lageda, Tõnu Piik</v>
      </c>
      <c r="K20" s="1323">
        <v>12</v>
      </c>
      <c r="L20" s="1324" t="s">
        <v>211</v>
      </c>
      <c r="M20" s="1325">
        <v>13</v>
      </c>
      <c r="N20" s="1315" t="str">
        <f>B19</f>
        <v>Enn Tokman, Tarmo Bombe</v>
      </c>
      <c r="O20" s="1323">
        <v>12</v>
      </c>
      <c r="P20" s="1324" t="s">
        <v>211</v>
      </c>
      <c r="Q20" s="1325">
        <v>13</v>
      </c>
      <c r="R20" s="1315" t="str">
        <f>B16</f>
        <v>Meelis Luud, Urmas Randlaine</v>
      </c>
      <c r="S20" s="1323">
        <v>13</v>
      </c>
      <c r="T20" s="1324" t="s">
        <v>211</v>
      </c>
      <c r="U20" s="1325">
        <v>7</v>
      </c>
      <c r="V20" s="1315" t="s">
        <v>725</v>
      </c>
      <c r="W20" s="1323"/>
      <c r="X20" s="1324" t="s">
        <v>211</v>
      </c>
      <c r="Y20" s="1325"/>
      <c r="Z20" s="1315"/>
      <c r="AA20" s="1330">
        <f t="shared" si="0"/>
        <v>2</v>
      </c>
      <c r="AB20" s="1331"/>
      <c r="AC20" s="1323">
        <f t="shared" si="1"/>
        <v>59</v>
      </c>
      <c r="AD20" s="1324" t="s">
        <v>211</v>
      </c>
      <c r="AE20" s="1326">
        <f t="shared" si="2"/>
        <v>56</v>
      </c>
      <c r="AF20" s="1327">
        <f t="shared" si="3"/>
        <v>3</v>
      </c>
      <c r="AG20" s="663"/>
      <c r="AH20" s="499">
        <f t="shared" si="10"/>
        <v>92</v>
      </c>
      <c r="AI20" s="605" t="str">
        <f t="shared" si="5"/>
        <v>Karla Purgats</v>
      </c>
      <c r="AJ20" s="604">
        <f>IFERROR(INDEX(V!$N:$N,MATCH(AI20,V!$I:$I,0)),"")</f>
        <v>46.5</v>
      </c>
      <c r="AK20" s="605" t="str">
        <f t="shared" si="6"/>
        <v>Lemmit Toomra</v>
      </c>
      <c r="AL20" s="604">
        <f>IFERROR(INDEX(V!$N:$N,MATCH(AK20,V!$I:$I,0)),"")</f>
        <v>45.5</v>
      </c>
      <c r="AM20" s="603" t="str">
        <f t="shared" si="7"/>
        <v/>
      </c>
      <c r="AN20" s="604" t="str">
        <f>IFERROR(INDEX(V!$N:$N,MATCH(AM20,V!$I:$I,0)),"")</f>
        <v/>
      </c>
      <c r="AO20" s="603" t="str">
        <f t="shared" si="8"/>
        <v/>
      </c>
      <c r="AP20" s="604" t="str">
        <f>IFERROR(INDEX(V!$N:$N,MATCH(AO20,V!$I:$I,0)),"")</f>
        <v/>
      </c>
    </row>
    <row r="21" spans="1:42" ht="12.75" hidden="1" customHeight="1" x14ac:dyDescent="0.2">
      <c r="L21" s="32"/>
      <c r="M21" s="32"/>
      <c r="N21" s="32"/>
      <c r="T21" s="32"/>
      <c r="U21" s="32"/>
      <c r="V21" s="32"/>
      <c r="W21" s="32"/>
    </row>
    <row r="22" spans="1:42" ht="12.75" hidden="1" customHeight="1" x14ac:dyDescent="0.2">
      <c r="L22" s="32"/>
      <c r="M22" s="32"/>
      <c r="N22" s="32"/>
      <c r="T22" s="32"/>
      <c r="U22" s="32"/>
      <c r="V22" s="32"/>
      <c r="W22" s="32"/>
    </row>
    <row r="23" spans="1:42" ht="12.75" hidden="1" customHeight="1" x14ac:dyDescent="0.2">
      <c r="L23" s="32"/>
      <c r="M23" s="32"/>
      <c r="N23" s="32"/>
      <c r="T23" s="32"/>
      <c r="U23" s="32"/>
      <c r="V23" s="32"/>
      <c r="W23" s="32"/>
    </row>
    <row r="24" spans="1:42" ht="12.75" hidden="1" customHeight="1" x14ac:dyDescent="0.2">
      <c r="L24" s="32"/>
      <c r="M24" s="32"/>
      <c r="N24" s="32"/>
      <c r="T24" s="32"/>
      <c r="U24" s="32"/>
      <c r="V24" s="32"/>
      <c r="W24" s="32"/>
    </row>
    <row r="25" spans="1:42" ht="12.75" hidden="1" customHeight="1" x14ac:dyDescent="0.2">
      <c r="L25" s="32"/>
      <c r="M25" s="32"/>
      <c r="N25" s="32"/>
      <c r="T25" s="32"/>
      <c r="U25" s="32"/>
      <c r="V25" s="32"/>
      <c r="W25" s="32"/>
    </row>
    <row r="26" spans="1:42" ht="12.75" hidden="1" customHeight="1" x14ac:dyDescent="0.2">
      <c r="L26" s="32"/>
      <c r="M26" s="32"/>
      <c r="N26" s="32"/>
      <c r="T26" s="32"/>
      <c r="U26" s="32"/>
      <c r="V26" s="32"/>
      <c r="W26" s="32"/>
    </row>
    <row r="27" spans="1:42" ht="12.75" hidden="1" customHeight="1" x14ac:dyDescent="0.2">
      <c r="L27" s="32"/>
      <c r="M27" s="32"/>
      <c r="N27" s="32"/>
      <c r="T27" s="32"/>
      <c r="U27" s="32"/>
      <c r="V27" s="32"/>
      <c r="W27" s="32"/>
    </row>
    <row r="28" spans="1:42" ht="12.75" hidden="1" customHeight="1" x14ac:dyDescent="0.2">
      <c r="L28" s="32"/>
      <c r="M28" s="32"/>
      <c r="N28" s="32"/>
      <c r="T28" s="32"/>
      <c r="U28" s="32"/>
      <c r="V28" s="32"/>
      <c r="W28" s="223"/>
    </row>
    <row r="29" spans="1:42" ht="12.75" hidden="1" customHeight="1" x14ac:dyDescent="0.2">
      <c r="L29" s="32"/>
      <c r="M29" s="32"/>
      <c r="N29" s="32"/>
      <c r="T29" s="32"/>
      <c r="U29" s="32"/>
      <c r="V29" s="32"/>
      <c r="W29" s="223"/>
    </row>
    <row r="30" spans="1:42" ht="12.75" hidden="1" customHeight="1" x14ac:dyDescent="0.2">
      <c r="L30" s="32"/>
      <c r="M30" s="32"/>
      <c r="N30" s="32"/>
      <c r="T30" s="32"/>
      <c r="U30" s="32"/>
      <c r="V30" s="32"/>
      <c r="W30" s="223"/>
    </row>
    <row r="31" spans="1:42" ht="12.75" hidden="1" customHeight="1" x14ac:dyDescent="0.2">
      <c r="L31" s="32"/>
      <c r="M31" s="32"/>
      <c r="N31" s="32"/>
      <c r="T31" s="32"/>
      <c r="U31" s="32"/>
      <c r="V31" s="32"/>
      <c r="W31" s="223"/>
    </row>
    <row r="32" spans="1:42" ht="12.75" hidden="1" customHeight="1" x14ac:dyDescent="0.2">
      <c r="L32" s="32"/>
      <c r="M32" s="32"/>
      <c r="N32" s="32"/>
      <c r="T32" s="32"/>
      <c r="U32" s="32"/>
      <c r="V32" s="32"/>
      <c r="W32" s="223"/>
    </row>
    <row r="33" spans="12:23" ht="12.75" hidden="1" customHeight="1" x14ac:dyDescent="0.2">
      <c r="L33" s="32"/>
      <c r="M33" s="32"/>
      <c r="N33" s="32"/>
      <c r="T33" s="32"/>
      <c r="U33" s="32"/>
      <c r="V33" s="32"/>
      <c r="W33" s="223"/>
    </row>
    <row r="34" spans="12:23" ht="12.75" hidden="1" customHeight="1" x14ac:dyDescent="0.2">
      <c r="L34" s="32"/>
      <c r="M34" s="32"/>
      <c r="N34" s="32"/>
      <c r="T34" s="32"/>
      <c r="U34" s="32"/>
      <c r="V34" s="32"/>
      <c r="W34" s="223"/>
    </row>
    <row r="35" spans="12:23" ht="12.75" hidden="1" customHeight="1" x14ac:dyDescent="0.2">
      <c r="L35" s="32"/>
      <c r="M35" s="32"/>
      <c r="N35" s="32"/>
      <c r="T35" s="32"/>
      <c r="U35" s="32"/>
      <c r="V35" s="32"/>
      <c r="W35" s="223"/>
    </row>
    <row r="36" spans="12:23" ht="12.75" hidden="1" customHeight="1" x14ac:dyDescent="0.2">
      <c r="L36" s="32"/>
      <c r="M36" s="32"/>
      <c r="N36" s="32"/>
      <c r="T36" s="32"/>
      <c r="U36" s="32"/>
      <c r="V36" s="32"/>
      <c r="W36" s="223"/>
    </row>
    <row r="37" spans="12:23" ht="12.75" hidden="1" customHeight="1" x14ac:dyDescent="0.2">
      <c r="L37" s="32"/>
      <c r="M37" s="32"/>
      <c r="N37" s="32"/>
      <c r="T37" s="32"/>
      <c r="U37" s="32"/>
      <c r="V37" s="32"/>
      <c r="W37" s="223"/>
    </row>
    <row r="38" spans="12:23" ht="12.75" hidden="1" customHeight="1" x14ac:dyDescent="0.2">
      <c r="L38" s="32"/>
      <c r="M38" s="32"/>
      <c r="N38" s="32"/>
      <c r="T38" s="32"/>
      <c r="U38" s="32"/>
      <c r="V38" s="32"/>
      <c r="W38" s="223"/>
    </row>
    <row r="39" spans="12:23" ht="12.75" hidden="1" customHeight="1" x14ac:dyDescent="0.2">
      <c r="L39" s="32"/>
      <c r="M39" s="32"/>
      <c r="N39" s="32"/>
      <c r="T39" s="32"/>
      <c r="U39" s="32"/>
      <c r="V39" s="32"/>
      <c r="W39" s="223"/>
    </row>
    <row r="40" spans="12:23" ht="12.75" hidden="1" customHeight="1" x14ac:dyDescent="0.2">
      <c r="L40" s="32"/>
      <c r="M40" s="32"/>
      <c r="N40" s="32"/>
      <c r="T40" s="32"/>
      <c r="U40" s="32"/>
      <c r="V40" s="32"/>
      <c r="W40" s="223"/>
    </row>
    <row r="41" spans="12:23" ht="12.75" hidden="1" customHeight="1" x14ac:dyDescent="0.2">
      <c r="L41" s="32"/>
      <c r="M41" s="32"/>
      <c r="N41" s="32"/>
      <c r="T41" s="32"/>
      <c r="U41" s="32"/>
      <c r="V41" s="32"/>
      <c r="W41" s="223"/>
    </row>
    <row r="42" spans="12:23" ht="12.75" hidden="1" customHeight="1" x14ac:dyDescent="0.2">
      <c r="L42" s="32"/>
      <c r="M42" s="32"/>
      <c r="N42" s="32"/>
      <c r="T42" s="32"/>
      <c r="U42" s="32"/>
      <c r="V42" s="32"/>
      <c r="W42" s="223"/>
    </row>
    <row r="43" spans="12:23" ht="12.75" hidden="1" customHeight="1" x14ac:dyDescent="0.2">
      <c r="L43" s="32"/>
      <c r="M43" s="32"/>
      <c r="N43" s="32"/>
      <c r="T43" s="32"/>
      <c r="U43" s="32"/>
      <c r="V43" s="32"/>
      <c r="W43" s="223"/>
    </row>
    <row r="44" spans="12:23" ht="12.75" hidden="1" customHeight="1" x14ac:dyDescent="0.2">
      <c r="L44" s="32"/>
      <c r="M44" s="32"/>
      <c r="N44" s="32"/>
      <c r="T44" s="32"/>
      <c r="U44" s="32"/>
      <c r="V44" s="32"/>
      <c r="W44" s="223"/>
    </row>
    <row r="45" spans="12:23" ht="12.75" hidden="1" customHeight="1" x14ac:dyDescent="0.2">
      <c r="L45" s="32"/>
      <c r="M45" s="32"/>
      <c r="N45" s="32"/>
      <c r="T45" s="32"/>
      <c r="U45" s="32"/>
      <c r="V45" s="32"/>
      <c r="W45" s="223"/>
    </row>
    <row r="46" spans="12:23" ht="12.75" hidden="1" customHeight="1" x14ac:dyDescent="0.2">
      <c r="L46" s="32"/>
      <c r="M46" s="32"/>
      <c r="N46" s="32"/>
      <c r="T46" s="32"/>
      <c r="U46" s="32"/>
      <c r="V46" s="32"/>
      <c r="W46" s="223"/>
    </row>
    <row r="47" spans="12:23" ht="12.75" hidden="1" customHeight="1" x14ac:dyDescent="0.2">
      <c r="L47" s="32"/>
      <c r="M47" s="32"/>
      <c r="N47" s="32"/>
      <c r="T47" s="32"/>
      <c r="U47" s="32"/>
      <c r="V47" s="32"/>
      <c r="W47" s="223"/>
    </row>
    <row r="48" spans="12:23" ht="12.75" hidden="1" customHeight="1" x14ac:dyDescent="0.2">
      <c r="L48" s="32"/>
      <c r="M48" s="32"/>
      <c r="N48" s="32"/>
      <c r="T48" s="32"/>
      <c r="U48" s="32"/>
      <c r="V48" s="32"/>
      <c r="W48" s="223"/>
    </row>
    <row r="49" spans="12:23" ht="12.75" hidden="1" customHeight="1" x14ac:dyDescent="0.2">
      <c r="L49" s="32"/>
      <c r="M49" s="32"/>
      <c r="N49" s="32"/>
      <c r="T49" s="32"/>
      <c r="U49" s="32"/>
      <c r="V49" s="32"/>
      <c r="W49" s="223"/>
    </row>
    <row r="50" spans="12:23" ht="12.75" hidden="1" customHeight="1" x14ac:dyDescent="0.2">
      <c r="L50" s="32"/>
      <c r="M50" s="32"/>
      <c r="N50" s="32"/>
      <c r="T50" s="32"/>
      <c r="U50" s="32"/>
      <c r="V50" s="32"/>
      <c r="W50" s="223"/>
    </row>
    <row r="51" spans="12:23" ht="12.75" hidden="1" customHeight="1" x14ac:dyDescent="0.2">
      <c r="L51" s="32"/>
      <c r="M51" s="32"/>
      <c r="N51" s="32"/>
      <c r="T51" s="32"/>
      <c r="U51" s="32"/>
      <c r="V51" s="32"/>
      <c r="W51" s="223"/>
    </row>
    <row r="52" spans="12:23" ht="12.75" hidden="1" customHeight="1" x14ac:dyDescent="0.2">
      <c r="L52" s="32"/>
      <c r="M52" s="32"/>
      <c r="N52" s="32"/>
      <c r="T52" s="32"/>
      <c r="U52" s="32"/>
      <c r="V52" s="32"/>
      <c r="W52" s="223"/>
    </row>
    <row r="53" spans="12:23" ht="12.75" hidden="1" customHeight="1" x14ac:dyDescent="0.2">
      <c r="L53" s="32"/>
      <c r="M53" s="32"/>
      <c r="N53" s="32"/>
      <c r="T53" s="32"/>
      <c r="U53" s="32"/>
      <c r="V53" s="32"/>
      <c r="W53" s="223"/>
    </row>
    <row r="54" spans="12:23" ht="12.75" hidden="1" customHeight="1" x14ac:dyDescent="0.2">
      <c r="L54" s="32"/>
      <c r="M54" s="32"/>
      <c r="N54" s="32"/>
      <c r="T54" s="32"/>
      <c r="U54" s="32"/>
      <c r="V54" s="32"/>
      <c r="W54" s="223"/>
    </row>
    <row r="55" spans="12:23" ht="12.75" hidden="1" customHeight="1" x14ac:dyDescent="0.2">
      <c r="L55" s="32"/>
      <c r="M55" s="32"/>
      <c r="N55" s="32"/>
      <c r="T55" s="32"/>
      <c r="U55" s="32"/>
      <c r="V55" s="32"/>
      <c r="W55" s="223"/>
    </row>
    <row r="56" spans="12:23" ht="12.75" hidden="1" customHeight="1" x14ac:dyDescent="0.2">
      <c r="L56" s="32"/>
      <c r="M56" s="32"/>
      <c r="N56" s="32"/>
      <c r="T56" s="32"/>
      <c r="U56" s="32"/>
      <c r="V56" s="32"/>
      <c r="W56" s="223"/>
    </row>
    <row r="57" spans="12:23" ht="12.75" hidden="1" customHeight="1" x14ac:dyDescent="0.2">
      <c r="L57" s="32"/>
      <c r="M57" s="32"/>
      <c r="N57" s="32"/>
      <c r="T57" s="32"/>
      <c r="U57" s="32"/>
      <c r="V57" s="32"/>
      <c r="W57" s="223"/>
    </row>
    <row r="58" spans="12:23" ht="12.75" hidden="1" customHeight="1" x14ac:dyDescent="0.2">
      <c r="L58" s="32"/>
      <c r="M58" s="32"/>
      <c r="N58" s="32"/>
      <c r="T58" s="32"/>
      <c r="U58" s="32"/>
      <c r="V58" s="32"/>
      <c r="W58" s="223"/>
    </row>
    <row r="59" spans="12:23" ht="12.75" hidden="1" customHeight="1" x14ac:dyDescent="0.2">
      <c r="L59" s="32"/>
      <c r="M59" s="32"/>
      <c r="N59" s="32"/>
      <c r="T59" s="32"/>
      <c r="U59" s="32"/>
      <c r="V59" s="32"/>
      <c r="W59" s="223"/>
    </row>
    <row r="60" spans="12:23" ht="12.75" hidden="1" customHeight="1" x14ac:dyDescent="0.2">
      <c r="L60" s="32"/>
      <c r="M60" s="32"/>
      <c r="N60" s="32"/>
      <c r="T60" s="32"/>
      <c r="U60" s="32"/>
      <c r="V60" s="32"/>
      <c r="W60" s="223"/>
    </row>
    <row r="61" spans="12:23" ht="12.75" hidden="1" customHeight="1" x14ac:dyDescent="0.2">
      <c r="L61" s="32"/>
      <c r="M61" s="32"/>
      <c r="N61" s="32"/>
      <c r="T61" s="32"/>
      <c r="U61" s="32"/>
      <c r="V61" s="32"/>
      <c r="W61" s="223"/>
    </row>
    <row r="62" spans="12:23" ht="12.75" hidden="1" customHeight="1" x14ac:dyDescent="0.2">
      <c r="L62" s="32"/>
      <c r="M62" s="32"/>
      <c r="N62" s="32"/>
      <c r="T62" s="32"/>
      <c r="U62" s="32"/>
      <c r="V62" s="32"/>
      <c r="W62" s="223"/>
    </row>
    <row r="63" spans="12:23" ht="12.75" hidden="1" customHeight="1" x14ac:dyDescent="0.2">
      <c r="L63" s="32"/>
      <c r="M63" s="32"/>
      <c r="N63" s="32"/>
      <c r="T63" s="32"/>
      <c r="U63" s="32"/>
      <c r="V63" s="32"/>
      <c r="W63" s="223"/>
    </row>
    <row r="64" spans="12:23" ht="12.75" hidden="1" customHeight="1" x14ac:dyDescent="0.2">
      <c r="L64" s="32"/>
      <c r="M64" s="32"/>
      <c r="N64" s="32"/>
      <c r="T64" s="32"/>
      <c r="U64" s="32"/>
      <c r="V64" s="32"/>
      <c r="W64" s="223"/>
    </row>
    <row r="65" spans="12:23" ht="12.75" hidden="1" customHeight="1" x14ac:dyDescent="0.2">
      <c r="L65" s="32"/>
      <c r="M65" s="32"/>
      <c r="N65" s="32"/>
      <c r="T65" s="32"/>
      <c r="U65" s="32"/>
      <c r="V65" s="32"/>
      <c r="W65" s="223"/>
    </row>
    <row r="66" spans="12:23" ht="12.75" hidden="1" customHeight="1" x14ac:dyDescent="0.2">
      <c r="L66" s="32"/>
      <c r="M66" s="32"/>
      <c r="N66" s="32"/>
      <c r="T66" s="32"/>
      <c r="U66" s="32"/>
      <c r="V66" s="32"/>
      <c r="W66" s="223"/>
    </row>
    <row r="67" spans="12:23" ht="12.75" hidden="1" customHeight="1" x14ac:dyDescent="0.2">
      <c r="L67" s="32"/>
      <c r="M67" s="32"/>
      <c r="N67" s="32"/>
      <c r="T67" s="32"/>
      <c r="U67" s="32"/>
      <c r="V67" s="32"/>
      <c r="W67" s="223"/>
    </row>
    <row r="68" spans="12:23" ht="12.75" hidden="1" customHeight="1" x14ac:dyDescent="0.2">
      <c r="L68" s="32"/>
      <c r="M68" s="32"/>
      <c r="N68" s="32"/>
      <c r="T68" s="32"/>
      <c r="U68" s="32"/>
      <c r="V68" s="32"/>
      <c r="W68" s="223"/>
    </row>
    <row r="69" spans="12:23" ht="12.75" hidden="1" customHeight="1" x14ac:dyDescent="0.2">
      <c r="L69" s="32"/>
      <c r="M69" s="32"/>
      <c r="N69" s="32"/>
      <c r="T69" s="32"/>
      <c r="U69" s="32"/>
      <c r="V69" s="32"/>
      <c r="W69" s="223"/>
    </row>
    <row r="70" spans="12:23" ht="12.75" hidden="1" customHeight="1" x14ac:dyDescent="0.2">
      <c r="L70" s="32"/>
      <c r="M70" s="32"/>
      <c r="N70" s="32"/>
      <c r="T70" s="32"/>
      <c r="U70" s="32"/>
      <c r="V70" s="32"/>
      <c r="W70" s="223"/>
    </row>
    <row r="71" spans="12:23" ht="12.75" hidden="1" customHeight="1" x14ac:dyDescent="0.2">
      <c r="L71" s="32"/>
      <c r="M71" s="32"/>
      <c r="N71" s="32"/>
      <c r="T71" s="32"/>
      <c r="U71" s="32"/>
      <c r="V71" s="32"/>
      <c r="W71" s="223"/>
    </row>
    <row r="72" spans="12:23" ht="12.75" hidden="1" customHeight="1" x14ac:dyDescent="0.2">
      <c r="L72" s="32"/>
      <c r="M72" s="32"/>
      <c r="N72" s="32"/>
      <c r="T72" s="32"/>
      <c r="U72" s="32"/>
      <c r="V72" s="32"/>
      <c r="W72" s="223"/>
    </row>
    <row r="73" spans="12:23" ht="12.75" hidden="1" customHeight="1" x14ac:dyDescent="0.2">
      <c r="L73" s="32"/>
      <c r="M73" s="32"/>
      <c r="N73" s="32"/>
      <c r="T73" s="32"/>
      <c r="U73" s="32"/>
      <c r="V73" s="32"/>
      <c r="W73" s="223"/>
    </row>
    <row r="74" spans="12:23" ht="12.75" hidden="1" customHeight="1" x14ac:dyDescent="0.2">
      <c r="L74" s="32"/>
      <c r="M74" s="32"/>
      <c r="N74" s="32"/>
      <c r="T74" s="32"/>
      <c r="U74" s="32"/>
      <c r="V74" s="32"/>
      <c r="W74" s="223"/>
    </row>
    <row r="75" spans="12:23" ht="12.75" hidden="1" customHeight="1" x14ac:dyDescent="0.2">
      <c r="L75" s="32"/>
      <c r="M75" s="32"/>
      <c r="N75" s="32"/>
      <c r="T75" s="32"/>
      <c r="U75" s="32"/>
      <c r="V75" s="32"/>
      <c r="W75" s="223"/>
    </row>
    <row r="76" spans="12:23" ht="12.75" hidden="1" customHeight="1" x14ac:dyDescent="0.2">
      <c r="L76" s="32"/>
      <c r="M76" s="32"/>
      <c r="N76" s="32"/>
      <c r="T76" s="32"/>
      <c r="U76" s="32"/>
      <c r="V76" s="32"/>
      <c r="W76" s="223"/>
    </row>
    <row r="77" spans="12:23" ht="12.75" hidden="1" customHeight="1" x14ac:dyDescent="0.2">
      <c r="L77" s="32"/>
      <c r="M77" s="32"/>
      <c r="N77" s="32"/>
      <c r="T77" s="32"/>
      <c r="U77" s="32"/>
      <c r="V77" s="32"/>
      <c r="W77" s="223"/>
    </row>
    <row r="78" spans="12:23" ht="12.75" hidden="1" customHeight="1" x14ac:dyDescent="0.2">
      <c r="L78" s="32"/>
      <c r="M78" s="32"/>
      <c r="N78" s="32"/>
      <c r="T78" s="32"/>
      <c r="U78" s="32"/>
      <c r="V78" s="32"/>
      <c r="W78" s="223"/>
    </row>
    <row r="79" spans="12:23" ht="12.75" hidden="1" customHeight="1" x14ac:dyDescent="0.2">
      <c r="L79" s="32"/>
      <c r="M79" s="32"/>
      <c r="N79" s="32"/>
      <c r="T79" s="32"/>
      <c r="U79" s="32"/>
      <c r="V79" s="32"/>
      <c r="W79" s="223"/>
    </row>
    <row r="80" spans="12:23" ht="12.75" hidden="1" customHeight="1" x14ac:dyDescent="0.2">
      <c r="L80" s="32"/>
      <c r="M80" s="32"/>
      <c r="N80" s="32"/>
      <c r="T80" s="32"/>
      <c r="U80" s="32"/>
      <c r="V80" s="32"/>
      <c r="W80" s="223"/>
    </row>
    <row r="81" spans="12:23" ht="12.75" hidden="1" customHeight="1" x14ac:dyDescent="0.2">
      <c r="L81" s="32"/>
      <c r="M81" s="32"/>
      <c r="N81" s="32"/>
      <c r="T81" s="32"/>
      <c r="U81" s="32"/>
      <c r="V81" s="32"/>
      <c r="W81" s="223"/>
    </row>
    <row r="82" spans="12:23" ht="12.75" hidden="1" customHeight="1" x14ac:dyDescent="0.2">
      <c r="L82" s="32"/>
      <c r="M82" s="32"/>
      <c r="N82" s="32"/>
      <c r="T82" s="32"/>
      <c r="U82" s="32"/>
      <c r="V82" s="32"/>
      <c r="W82" s="223"/>
    </row>
    <row r="83" spans="12:23" ht="12.75" hidden="1" customHeight="1" x14ac:dyDescent="0.2">
      <c r="L83" s="32"/>
      <c r="M83" s="32"/>
      <c r="N83" s="32"/>
      <c r="T83" s="32"/>
      <c r="U83" s="32"/>
      <c r="V83" s="32"/>
      <c r="W83" s="223"/>
    </row>
    <row r="84" spans="12:23" ht="12.75" hidden="1" customHeight="1" x14ac:dyDescent="0.2">
      <c r="L84" s="32"/>
      <c r="M84" s="32"/>
      <c r="N84" s="32"/>
      <c r="T84" s="32"/>
      <c r="U84" s="32"/>
      <c r="V84" s="32"/>
      <c r="W84" s="223"/>
    </row>
    <row r="85" spans="12:23" ht="12.75" hidden="1" customHeight="1" x14ac:dyDescent="0.2">
      <c r="L85" s="32"/>
      <c r="M85" s="32"/>
      <c r="N85" s="32"/>
      <c r="T85" s="32"/>
      <c r="U85" s="32"/>
      <c r="V85" s="32"/>
      <c r="W85" s="223"/>
    </row>
    <row r="86" spans="12:23" ht="12.75" hidden="1" customHeight="1" x14ac:dyDescent="0.2">
      <c r="L86" s="32"/>
      <c r="M86" s="32"/>
      <c r="N86" s="32"/>
      <c r="T86" s="32"/>
      <c r="U86" s="32"/>
      <c r="V86" s="32"/>
      <c r="W86" s="223"/>
    </row>
    <row r="87" spans="12:23" ht="12.75" hidden="1" customHeight="1" x14ac:dyDescent="0.2">
      <c r="L87" s="32"/>
      <c r="M87" s="32"/>
      <c r="N87" s="32"/>
      <c r="T87" s="32"/>
      <c r="U87" s="32"/>
      <c r="V87" s="32"/>
      <c r="W87" s="223"/>
    </row>
    <row r="88" spans="12:23" ht="12.75" hidden="1" customHeight="1" x14ac:dyDescent="0.2">
      <c r="L88" s="32"/>
      <c r="M88" s="32"/>
      <c r="N88" s="32"/>
      <c r="T88" s="32"/>
      <c r="U88" s="32"/>
      <c r="V88" s="32"/>
      <c r="W88" s="223"/>
    </row>
    <row r="89" spans="12:23" ht="12.75" hidden="1" customHeight="1" x14ac:dyDescent="0.2">
      <c r="L89" s="32"/>
      <c r="M89" s="32"/>
      <c r="N89" s="32"/>
      <c r="T89" s="32"/>
      <c r="U89" s="32"/>
      <c r="V89" s="32"/>
      <c r="W89" s="223"/>
    </row>
    <row r="90" spans="12:23" ht="12.75" hidden="1" customHeight="1" x14ac:dyDescent="0.2">
      <c r="L90" s="32"/>
      <c r="M90" s="32"/>
      <c r="N90" s="32"/>
      <c r="T90" s="32"/>
      <c r="U90" s="32"/>
      <c r="V90" s="32"/>
      <c r="W90" s="223"/>
    </row>
    <row r="91" spans="12:23" ht="12.75" hidden="1" customHeight="1" x14ac:dyDescent="0.2">
      <c r="L91" s="32"/>
      <c r="M91" s="32"/>
      <c r="N91" s="32"/>
      <c r="T91" s="32"/>
      <c r="U91" s="32"/>
      <c r="V91" s="32"/>
      <c r="W91" s="223"/>
    </row>
    <row r="92" spans="12:23" ht="12.75" hidden="1" customHeight="1" x14ac:dyDescent="0.2">
      <c r="L92" s="32"/>
      <c r="M92" s="32"/>
      <c r="N92" s="32"/>
      <c r="T92" s="32"/>
      <c r="U92" s="32"/>
      <c r="V92" s="32"/>
      <c r="W92" s="223"/>
    </row>
    <row r="93" spans="12:23" ht="12.75" hidden="1" customHeight="1" x14ac:dyDescent="0.2">
      <c r="L93" s="32"/>
      <c r="M93" s="32"/>
      <c r="N93" s="32"/>
      <c r="T93" s="32"/>
      <c r="U93" s="32"/>
      <c r="V93" s="32"/>
      <c r="W93" s="223"/>
    </row>
    <row r="94" spans="12:23" ht="12.75" hidden="1" customHeight="1" x14ac:dyDescent="0.2">
      <c r="L94" s="32"/>
      <c r="M94" s="32"/>
      <c r="N94" s="32"/>
      <c r="T94" s="32"/>
      <c r="U94" s="32"/>
      <c r="V94" s="32"/>
      <c r="W94" s="223"/>
    </row>
    <row r="95" spans="12:23" ht="12.75" hidden="1" customHeight="1" x14ac:dyDescent="0.2">
      <c r="L95" s="32"/>
      <c r="M95" s="32"/>
      <c r="N95" s="32"/>
      <c r="T95" s="32"/>
      <c r="U95" s="32"/>
      <c r="V95" s="32"/>
      <c r="W95" s="223"/>
    </row>
    <row r="96" spans="12:23" ht="12.75" hidden="1" customHeight="1" x14ac:dyDescent="0.2">
      <c r="L96" s="32"/>
      <c r="M96" s="32"/>
      <c r="N96" s="32"/>
      <c r="T96" s="32"/>
      <c r="U96" s="32"/>
      <c r="V96" s="32"/>
      <c r="W96" s="223"/>
    </row>
    <row r="97" spans="12:23" ht="12.75" hidden="1" customHeight="1" x14ac:dyDescent="0.2">
      <c r="L97" s="32"/>
      <c r="M97" s="32"/>
      <c r="N97" s="32"/>
      <c r="T97" s="32"/>
      <c r="U97" s="32"/>
      <c r="V97" s="32"/>
      <c r="W97" s="223"/>
    </row>
    <row r="98" spans="12:23" ht="12.75" hidden="1" customHeight="1" x14ac:dyDescent="0.2">
      <c r="L98" s="32"/>
      <c r="M98" s="32"/>
      <c r="N98" s="32"/>
      <c r="T98" s="32"/>
      <c r="U98" s="32"/>
      <c r="V98" s="32"/>
      <c r="W98" s="223"/>
    </row>
    <row r="99" spans="12:23" ht="12.75" hidden="1" customHeight="1" x14ac:dyDescent="0.2">
      <c r="L99" s="32"/>
      <c r="M99" s="32"/>
      <c r="N99" s="32"/>
      <c r="T99" s="32"/>
      <c r="U99" s="32"/>
      <c r="V99" s="32"/>
      <c r="W99" s="223"/>
    </row>
    <row r="100" spans="12:23" ht="12.75" hidden="1" customHeight="1" x14ac:dyDescent="0.2">
      <c r="L100" s="32"/>
      <c r="M100" s="32"/>
      <c r="N100" s="32"/>
      <c r="T100" s="32"/>
      <c r="U100" s="32"/>
      <c r="V100" s="32"/>
      <c r="W100" s="223"/>
    </row>
    <row r="101" spans="12:23" ht="12.75" hidden="1" customHeight="1" x14ac:dyDescent="0.2">
      <c r="L101" s="32"/>
      <c r="M101" s="32"/>
      <c r="N101" s="32"/>
      <c r="T101" s="32"/>
      <c r="U101" s="32"/>
      <c r="V101" s="32"/>
      <c r="W101" s="223"/>
    </row>
    <row r="102" spans="12:23" ht="12.75" hidden="1" customHeight="1" x14ac:dyDescent="0.2">
      <c r="L102" s="32"/>
      <c r="M102" s="32"/>
      <c r="N102" s="32"/>
      <c r="T102" s="32"/>
      <c r="U102" s="32"/>
      <c r="V102" s="32"/>
      <c r="W102" s="223"/>
    </row>
    <row r="103" spans="12:23" ht="12.75" hidden="1" customHeight="1" x14ac:dyDescent="0.2">
      <c r="L103" s="32"/>
      <c r="M103" s="32"/>
      <c r="N103" s="32"/>
      <c r="T103" s="32"/>
      <c r="U103" s="32"/>
      <c r="V103" s="32"/>
      <c r="W103" s="223"/>
    </row>
    <row r="104" spans="12:23" ht="12.75" hidden="1" customHeight="1" x14ac:dyDescent="0.2">
      <c r="L104" s="32"/>
      <c r="M104" s="32"/>
      <c r="N104" s="32"/>
      <c r="T104" s="32"/>
      <c r="U104" s="32"/>
      <c r="V104" s="32"/>
      <c r="W104" s="223"/>
    </row>
    <row r="105" spans="12:23" ht="12.75" hidden="1" customHeight="1" x14ac:dyDescent="0.2">
      <c r="L105" s="32"/>
      <c r="M105" s="32"/>
      <c r="N105" s="32"/>
      <c r="T105" s="32"/>
      <c r="U105" s="32"/>
      <c r="V105" s="32"/>
      <c r="W105" s="223"/>
    </row>
    <row r="106" spans="12:23" ht="12.75" hidden="1" customHeight="1" x14ac:dyDescent="0.2">
      <c r="L106" s="32"/>
      <c r="M106" s="32"/>
      <c r="N106" s="32"/>
      <c r="T106" s="32"/>
      <c r="U106" s="32"/>
      <c r="V106" s="32"/>
      <c r="W106" s="223"/>
    </row>
    <row r="107" spans="12:23" ht="12.75" hidden="1" customHeight="1" x14ac:dyDescent="0.2">
      <c r="L107" s="32"/>
      <c r="M107" s="32"/>
      <c r="N107" s="32"/>
      <c r="T107" s="32"/>
      <c r="U107" s="32"/>
      <c r="V107" s="32"/>
      <c r="W107" s="223"/>
    </row>
    <row r="108" spans="12:23" ht="12.75" hidden="1" customHeight="1" x14ac:dyDescent="0.2">
      <c r="L108" s="32"/>
      <c r="M108" s="32"/>
      <c r="N108" s="32"/>
      <c r="T108" s="32"/>
      <c r="U108" s="32"/>
      <c r="V108" s="32"/>
      <c r="W108" s="223"/>
    </row>
    <row r="109" spans="12:23" ht="12.75" hidden="1" customHeight="1" x14ac:dyDescent="0.2">
      <c r="L109" s="32"/>
      <c r="M109" s="32"/>
      <c r="N109" s="32"/>
      <c r="T109" s="32"/>
      <c r="U109" s="32"/>
      <c r="V109" s="32"/>
      <c r="W109" s="223"/>
    </row>
    <row r="110" spans="12:23" ht="12.75" hidden="1" customHeight="1" x14ac:dyDescent="0.2">
      <c r="L110" s="32"/>
      <c r="M110" s="32"/>
      <c r="N110" s="32"/>
      <c r="T110" s="32"/>
      <c r="U110" s="32"/>
      <c r="V110" s="32"/>
      <c r="W110" s="223"/>
    </row>
    <row r="111" spans="12:23" ht="12.75" hidden="1" customHeight="1" x14ac:dyDescent="0.2">
      <c r="L111" s="32"/>
      <c r="M111" s="32"/>
      <c r="N111" s="32"/>
      <c r="T111" s="32"/>
      <c r="U111" s="32"/>
      <c r="V111" s="32"/>
      <c r="W111" s="223"/>
    </row>
    <row r="112" spans="12:23" ht="12.75" hidden="1" customHeight="1" x14ac:dyDescent="0.2">
      <c r="L112" s="32"/>
      <c r="M112" s="32"/>
      <c r="N112" s="32"/>
      <c r="T112" s="32"/>
      <c r="U112" s="32"/>
      <c r="V112" s="32"/>
      <c r="W112" s="223"/>
    </row>
    <row r="113" spans="12:23" ht="12.75" hidden="1" customHeight="1" x14ac:dyDescent="0.2">
      <c r="L113" s="32"/>
      <c r="M113" s="32"/>
      <c r="N113" s="32"/>
      <c r="T113" s="32"/>
      <c r="U113" s="32"/>
      <c r="V113" s="32"/>
      <c r="W113" s="223"/>
    </row>
    <row r="114" spans="12:23" ht="12.75" hidden="1" customHeight="1" x14ac:dyDescent="0.2">
      <c r="L114" s="32"/>
      <c r="M114" s="32"/>
      <c r="N114" s="32"/>
      <c r="T114" s="32"/>
      <c r="U114" s="32"/>
      <c r="V114" s="32"/>
      <c r="W114" s="223"/>
    </row>
    <row r="115" spans="12:23" ht="12.75" hidden="1" customHeight="1" x14ac:dyDescent="0.2">
      <c r="L115" s="32"/>
      <c r="M115" s="32"/>
      <c r="N115" s="32"/>
      <c r="T115" s="32"/>
      <c r="U115" s="32"/>
      <c r="V115" s="32"/>
      <c r="W115" s="223"/>
    </row>
    <row r="116" spans="12:23" ht="12.75" hidden="1" customHeight="1" x14ac:dyDescent="0.2">
      <c r="L116" s="32"/>
      <c r="M116" s="32"/>
      <c r="N116" s="32"/>
      <c r="T116" s="32"/>
      <c r="U116" s="32"/>
      <c r="V116" s="32"/>
      <c r="W116" s="223"/>
    </row>
    <row r="117" spans="12:23" ht="12.75" hidden="1" customHeight="1" x14ac:dyDescent="0.2">
      <c r="L117" s="32"/>
      <c r="M117" s="32"/>
      <c r="N117" s="32"/>
      <c r="T117" s="32"/>
      <c r="U117" s="32"/>
      <c r="V117" s="32"/>
      <c r="W117" s="223"/>
    </row>
    <row r="118" spans="12:23" ht="12.75" hidden="1" customHeight="1" x14ac:dyDescent="0.2">
      <c r="L118" s="32"/>
      <c r="M118" s="32"/>
      <c r="N118" s="32"/>
      <c r="T118" s="32"/>
      <c r="U118" s="32"/>
      <c r="V118" s="32"/>
      <c r="W118" s="223"/>
    </row>
    <row r="119" spans="12:23" ht="12.75" hidden="1" customHeight="1" x14ac:dyDescent="0.2">
      <c r="L119" s="32"/>
      <c r="M119" s="32"/>
      <c r="N119" s="32"/>
      <c r="T119" s="32"/>
      <c r="U119" s="32"/>
      <c r="V119" s="32"/>
      <c r="W119" s="223"/>
    </row>
    <row r="120" spans="12:23" ht="12.75" hidden="1" customHeight="1" x14ac:dyDescent="0.2">
      <c r="L120" s="32"/>
      <c r="M120" s="32"/>
      <c r="N120" s="32"/>
      <c r="T120" s="32"/>
      <c r="U120" s="32"/>
      <c r="V120" s="32"/>
      <c r="W120" s="223"/>
    </row>
    <row r="121" spans="12:23" ht="12.75" hidden="1" customHeight="1" x14ac:dyDescent="0.2">
      <c r="L121" s="32"/>
      <c r="M121" s="32"/>
      <c r="N121" s="32"/>
      <c r="T121" s="32"/>
      <c r="U121" s="32"/>
      <c r="V121" s="32"/>
      <c r="W121" s="223"/>
    </row>
    <row r="122" spans="12:23" ht="12.75" hidden="1" customHeight="1" x14ac:dyDescent="0.2">
      <c r="L122" s="32"/>
      <c r="M122" s="32"/>
      <c r="N122" s="32"/>
      <c r="T122" s="32"/>
      <c r="U122" s="32"/>
      <c r="V122" s="32"/>
      <c r="W122" s="223"/>
    </row>
    <row r="123" spans="12:23" ht="12.75" hidden="1" customHeight="1" x14ac:dyDescent="0.2">
      <c r="L123" s="32"/>
      <c r="M123" s="32"/>
      <c r="N123" s="32"/>
      <c r="T123" s="32"/>
      <c r="U123" s="32"/>
      <c r="V123" s="32"/>
      <c r="W123" s="223"/>
    </row>
    <row r="124" spans="12:23" ht="12.75" hidden="1" customHeight="1" x14ac:dyDescent="0.2">
      <c r="L124" s="32"/>
      <c r="M124" s="32"/>
      <c r="N124" s="32"/>
      <c r="T124" s="32"/>
      <c r="U124" s="32"/>
      <c r="V124" s="32"/>
      <c r="W124" s="223"/>
    </row>
    <row r="125" spans="12:23" ht="12.75" hidden="1" customHeight="1" x14ac:dyDescent="0.2">
      <c r="L125" s="32"/>
      <c r="M125" s="32"/>
      <c r="N125" s="32"/>
      <c r="T125" s="32"/>
      <c r="U125" s="32"/>
      <c r="V125" s="32"/>
      <c r="W125" s="223"/>
    </row>
    <row r="126" spans="12:23" ht="12.75" hidden="1" customHeight="1" x14ac:dyDescent="0.2">
      <c r="L126" s="32"/>
      <c r="M126" s="32"/>
      <c r="N126" s="32"/>
      <c r="T126" s="32"/>
      <c r="U126" s="32"/>
      <c r="V126" s="32"/>
      <c r="W126" s="223"/>
    </row>
    <row r="127" spans="12:23" ht="12.75" hidden="1" customHeight="1" x14ac:dyDescent="0.2">
      <c r="L127" s="32"/>
      <c r="M127" s="32"/>
      <c r="N127" s="32"/>
      <c r="T127" s="32"/>
      <c r="U127" s="32"/>
      <c r="V127" s="32"/>
      <c r="W127" s="223"/>
    </row>
    <row r="128" spans="12:23" ht="12.75" hidden="1" customHeight="1" x14ac:dyDescent="0.2">
      <c r="L128" s="32"/>
      <c r="M128" s="32"/>
      <c r="N128" s="32"/>
      <c r="T128" s="32"/>
      <c r="U128" s="32"/>
      <c r="V128" s="32"/>
      <c r="W128" s="223"/>
    </row>
    <row r="129" spans="12:23" ht="12.75" hidden="1" customHeight="1" x14ac:dyDescent="0.2">
      <c r="L129" s="32"/>
      <c r="M129" s="32"/>
      <c r="N129" s="32"/>
      <c r="T129" s="32"/>
      <c r="U129" s="32"/>
      <c r="V129" s="32"/>
      <c r="W129" s="223"/>
    </row>
    <row r="130" spans="12:23" ht="12.75" hidden="1" customHeight="1" x14ac:dyDescent="0.2">
      <c r="L130" s="32"/>
      <c r="M130" s="32"/>
      <c r="N130" s="32"/>
      <c r="T130" s="32"/>
      <c r="U130" s="32"/>
      <c r="V130" s="32"/>
      <c r="W130" s="223"/>
    </row>
    <row r="131" spans="12:23" ht="12.75" hidden="1" customHeight="1" x14ac:dyDescent="0.2">
      <c r="L131" s="32"/>
      <c r="M131" s="32"/>
      <c r="N131" s="32"/>
      <c r="T131" s="32"/>
      <c r="U131" s="32"/>
      <c r="V131" s="32"/>
      <c r="W131" s="223"/>
    </row>
    <row r="132" spans="12:23" ht="12.75" hidden="1" customHeight="1" x14ac:dyDescent="0.2">
      <c r="L132" s="32"/>
      <c r="M132" s="32"/>
      <c r="N132" s="32"/>
      <c r="T132" s="32"/>
      <c r="U132" s="32"/>
      <c r="V132" s="32"/>
      <c r="W132" s="223"/>
    </row>
    <row r="133" spans="12:23" ht="12.75" hidden="1" customHeight="1" x14ac:dyDescent="0.2">
      <c r="L133" s="32"/>
      <c r="M133" s="32"/>
      <c r="N133" s="32"/>
      <c r="T133" s="32"/>
      <c r="U133" s="32"/>
      <c r="V133" s="32"/>
      <c r="W133" s="223"/>
    </row>
    <row r="134" spans="12:23" ht="12.75" hidden="1" customHeight="1" x14ac:dyDescent="0.2">
      <c r="L134" s="32"/>
      <c r="M134" s="32"/>
      <c r="N134" s="32"/>
      <c r="T134" s="32"/>
      <c r="U134" s="32"/>
      <c r="V134" s="32"/>
      <c r="W134" s="223"/>
    </row>
    <row r="135" spans="12:23" ht="12.75" hidden="1" customHeight="1" x14ac:dyDescent="0.2">
      <c r="L135" s="32"/>
      <c r="M135" s="32"/>
      <c r="N135" s="32"/>
      <c r="T135" s="32"/>
      <c r="U135" s="32"/>
      <c r="V135" s="32"/>
      <c r="W135" s="223"/>
    </row>
    <row r="136" spans="12:23" ht="12.75" hidden="1" customHeight="1" x14ac:dyDescent="0.2">
      <c r="L136" s="32"/>
      <c r="M136" s="32"/>
      <c r="N136" s="32"/>
      <c r="T136" s="32"/>
      <c r="U136" s="32"/>
      <c r="V136" s="32"/>
      <c r="W136" s="616"/>
    </row>
    <row r="137" spans="12:23" ht="12.75" hidden="1" customHeight="1" x14ac:dyDescent="0.2">
      <c r="L137" s="32"/>
      <c r="M137" s="32"/>
      <c r="N137" s="32"/>
      <c r="T137" s="32"/>
      <c r="U137" s="32"/>
      <c r="V137" s="32"/>
      <c r="W137" s="616"/>
    </row>
    <row r="138" spans="12:23" ht="12.75" hidden="1" customHeight="1" x14ac:dyDescent="0.2">
      <c r="L138" s="32"/>
      <c r="M138" s="32"/>
      <c r="N138" s="32"/>
      <c r="T138" s="32"/>
      <c r="U138" s="32"/>
      <c r="V138" s="32"/>
      <c r="W138" s="616"/>
    </row>
    <row r="139" spans="12:23" ht="12.75" hidden="1" customHeight="1" x14ac:dyDescent="0.2">
      <c r="L139" s="32"/>
      <c r="M139" s="32"/>
      <c r="N139" s="32"/>
      <c r="T139" s="32"/>
      <c r="U139" s="32"/>
      <c r="V139" s="32"/>
      <c r="W139" s="616"/>
    </row>
    <row r="140" spans="12:23" ht="12.75" hidden="1" customHeight="1" x14ac:dyDescent="0.2">
      <c r="L140" s="32"/>
      <c r="M140" s="32"/>
      <c r="N140" s="32"/>
      <c r="T140" s="32"/>
      <c r="U140" s="32"/>
      <c r="V140" s="32"/>
      <c r="W140" s="616"/>
    </row>
    <row r="141" spans="12:23" ht="12.75" hidden="1" customHeight="1" x14ac:dyDescent="0.2">
      <c r="L141" s="32"/>
      <c r="M141" s="32"/>
      <c r="N141" s="32"/>
      <c r="T141" s="32"/>
      <c r="U141" s="32"/>
      <c r="V141" s="32"/>
      <c r="W141" s="616"/>
    </row>
    <row r="142" spans="12:23" ht="12.75" hidden="1" customHeight="1" x14ac:dyDescent="0.2">
      <c r="L142" s="32"/>
      <c r="M142" s="32"/>
      <c r="N142" s="32"/>
      <c r="T142" s="32"/>
      <c r="U142" s="32"/>
      <c r="V142" s="32"/>
      <c r="W142" s="616"/>
    </row>
    <row r="143" spans="12:23" ht="12.75" hidden="1" customHeight="1" x14ac:dyDescent="0.2">
      <c r="L143" s="32"/>
      <c r="M143" s="32"/>
      <c r="N143" s="32"/>
      <c r="T143" s="32"/>
      <c r="U143" s="32"/>
      <c r="V143" s="32"/>
      <c r="W143" s="616"/>
    </row>
    <row r="144" spans="12:23" ht="12.75" hidden="1" customHeight="1" x14ac:dyDescent="0.2">
      <c r="L144" s="32"/>
      <c r="M144" s="32"/>
      <c r="N144" s="32"/>
      <c r="T144" s="32"/>
      <c r="U144" s="32"/>
      <c r="V144" s="32"/>
      <c r="W144" s="616"/>
    </row>
    <row r="145" spans="12:23" ht="12.75" hidden="1" customHeight="1" x14ac:dyDescent="0.2">
      <c r="L145" s="32"/>
      <c r="M145" s="32"/>
      <c r="N145" s="32"/>
      <c r="T145" s="32"/>
      <c r="U145" s="32"/>
      <c r="V145" s="32"/>
      <c r="W145" s="616"/>
    </row>
    <row r="146" spans="12:23" ht="12.75" hidden="1" customHeight="1" x14ac:dyDescent="0.2">
      <c r="L146" s="32"/>
      <c r="M146" s="32"/>
      <c r="N146" s="32"/>
      <c r="T146" s="32"/>
      <c r="U146" s="32"/>
      <c r="V146" s="32"/>
      <c r="W146" s="616"/>
    </row>
    <row r="147" spans="12:23" ht="12.75" hidden="1" customHeight="1" x14ac:dyDescent="0.2"/>
    <row r="148" spans="12:23" ht="12.75" hidden="1" customHeight="1" x14ac:dyDescent="0.2"/>
    <row r="149" spans="12:23" hidden="1" x14ac:dyDescent="0.2"/>
    <row r="150" spans="12:23" hidden="1" x14ac:dyDescent="0.2"/>
    <row r="151" spans="12:23" hidden="1" x14ac:dyDescent="0.2"/>
    <row r="152" spans="12:23" hidden="1" x14ac:dyDescent="0.2"/>
    <row r="153" spans="12:23" hidden="1" x14ac:dyDescent="0.2"/>
    <row r="154" spans="12:23" hidden="1" x14ac:dyDescent="0.2"/>
    <row r="155" spans="12:23" hidden="1" x14ac:dyDescent="0.2"/>
    <row r="156" spans="12:23" hidden="1" x14ac:dyDescent="0.2"/>
    <row r="157" spans="12:23" hidden="1" x14ac:dyDescent="0.2"/>
    <row r="158" spans="12:23" hidden="1" x14ac:dyDescent="0.2"/>
    <row r="159" spans="12:23" hidden="1" x14ac:dyDescent="0.2"/>
    <row r="160" spans="12:23" hidden="1" x14ac:dyDescent="0.2"/>
    <row r="161" spans="12:23" hidden="1" x14ac:dyDescent="0.2"/>
    <row r="162" spans="12:23" hidden="1" x14ac:dyDescent="0.2"/>
    <row r="163" spans="12:23" hidden="1" x14ac:dyDescent="0.2">
      <c r="L163" s="32"/>
      <c r="M163" s="32"/>
      <c r="N163" s="32"/>
      <c r="T163" s="32"/>
      <c r="U163" s="32"/>
      <c r="V163" s="32"/>
      <c r="W163" s="32"/>
    </row>
    <row r="164" spans="12:23" hidden="1" x14ac:dyDescent="0.2">
      <c r="L164" s="32"/>
      <c r="M164" s="32"/>
      <c r="N164" s="32"/>
      <c r="T164" s="32"/>
      <c r="U164" s="32"/>
      <c r="V164" s="32"/>
      <c r="W164" s="32"/>
    </row>
    <row r="165" spans="12:23" hidden="1" x14ac:dyDescent="0.2">
      <c r="L165" s="32"/>
      <c r="M165" s="32"/>
      <c r="N165" s="32"/>
      <c r="T165" s="32"/>
      <c r="U165" s="32"/>
      <c r="V165" s="32"/>
      <c r="W165" s="32"/>
    </row>
    <row r="166" spans="12:23" hidden="1" x14ac:dyDescent="0.2">
      <c r="L166" s="32"/>
      <c r="M166" s="32"/>
      <c r="N166" s="32"/>
      <c r="T166" s="32"/>
      <c r="U166" s="32"/>
      <c r="V166" s="32"/>
      <c r="W166" s="32"/>
    </row>
    <row r="167" spans="12:23" hidden="1" x14ac:dyDescent="0.2">
      <c r="L167" s="32"/>
      <c r="M167" s="32"/>
      <c r="N167" s="32"/>
      <c r="T167" s="32"/>
      <c r="U167" s="32"/>
      <c r="V167" s="32"/>
      <c r="W167" s="32"/>
    </row>
    <row r="168" spans="12:23" hidden="1" x14ac:dyDescent="0.2">
      <c r="L168" s="32"/>
      <c r="M168" s="32"/>
      <c r="N168" s="32"/>
      <c r="T168" s="32"/>
      <c r="U168" s="32"/>
      <c r="V168" s="32"/>
      <c r="W168" s="32"/>
    </row>
    <row r="169" spans="12:23" hidden="1" x14ac:dyDescent="0.2">
      <c r="L169" s="32"/>
      <c r="M169" s="32"/>
      <c r="N169" s="32"/>
      <c r="T169" s="32"/>
      <c r="U169" s="32"/>
      <c r="V169" s="32"/>
      <c r="W169" s="32"/>
    </row>
    <row r="170" spans="12:23" hidden="1" x14ac:dyDescent="0.2">
      <c r="L170" s="32"/>
      <c r="M170" s="32"/>
      <c r="N170" s="32"/>
      <c r="T170" s="32"/>
      <c r="U170" s="32"/>
      <c r="V170" s="32"/>
      <c r="W170" s="32"/>
    </row>
    <row r="171" spans="12:23" hidden="1" x14ac:dyDescent="0.2">
      <c r="L171" s="32"/>
      <c r="M171" s="32"/>
      <c r="N171" s="32"/>
      <c r="T171" s="32"/>
      <c r="U171" s="32"/>
      <c r="V171" s="32"/>
      <c r="W171" s="32"/>
    </row>
    <row r="172" spans="12:23" hidden="1" x14ac:dyDescent="0.2">
      <c r="L172" s="32"/>
      <c r="M172" s="32"/>
      <c r="N172" s="32"/>
      <c r="T172" s="32"/>
      <c r="U172" s="32"/>
      <c r="V172" s="32"/>
      <c r="W172" s="32"/>
    </row>
    <row r="173" spans="12:23" hidden="1" x14ac:dyDescent="0.2">
      <c r="L173" s="32"/>
      <c r="M173" s="32"/>
      <c r="N173" s="32"/>
      <c r="T173" s="32"/>
      <c r="U173" s="32"/>
      <c r="V173" s="32"/>
      <c r="W173" s="32"/>
    </row>
    <row r="174" spans="12:23" hidden="1" x14ac:dyDescent="0.2">
      <c r="L174" s="32"/>
      <c r="M174" s="32"/>
      <c r="N174" s="32"/>
      <c r="T174" s="32"/>
      <c r="U174" s="32"/>
      <c r="V174" s="32"/>
      <c r="W174" s="32"/>
    </row>
    <row r="175" spans="12:23" hidden="1" x14ac:dyDescent="0.2">
      <c r="L175" s="32"/>
      <c r="M175" s="32"/>
      <c r="N175" s="32"/>
      <c r="T175" s="32"/>
      <c r="U175" s="32"/>
      <c r="V175" s="32"/>
      <c r="W175" s="32"/>
    </row>
    <row r="176" spans="1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5" hidden="1" x14ac:dyDescent="0.2"/>
    <row r="290" spans="1:15" hidden="1" x14ac:dyDescent="0.2"/>
    <row r="291" spans="1:15" hidden="1" x14ac:dyDescent="0.2"/>
    <row r="292" spans="1:15" hidden="1" x14ac:dyDescent="0.2"/>
    <row r="293" spans="1:15" hidden="1" x14ac:dyDescent="0.2"/>
    <row r="294" spans="1:15" hidden="1" x14ac:dyDescent="0.2"/>
    <row r="295" spans="1:15" hidden="1" x14ac:dyDescent="0.2"/>
    <row r="296" spans="1:15" hidden="1" x14ac:dyDescent="0.2"/>
    <row r="297" spans="1:15" hidden="1" x14ac:dyDescent="0.2"/>
    <row r="299" spans="1:15" x14ac:dyDescent="0.2">
      <c r="A299" s="277"/>
      <c r="B299" s="277"/>
      <c r="C299" s="1364" t="s">
        <v>190</v>
      </c>
      <c r="D299" s="617"/>
      <c r="E299" s="617"/>
    </row>
    <row r="300" spans="1:15" x14ac:dyDescent="0.2">
      <c r="A300" s="279">
        <v>1</v>
      </c>
      <c r="B300" s="1334" t="str">
        <f>IFERROR(INDEX(B$1:B$100,MATCH(A300,A$1:A$100,0)),"")</f>
        <v>Boriss Klubov, Mait Metsla</v>
      </c>
      <c r="C300" s="55">
        <f>MAX(A300:A400)</f>
        <v>13</v>
      </c>
      <c r="D300" s="55"/>
      <c r="E300" s="55"/>
    </row>
    <row r="301" spans="1:15" x14ac:dyDescent="0.2">
      <c r="A301" s="279">
        <v>2</v>
      </c>
      <c r="B301" s="1334" t="str">
        <f t="shared" ref="B301:B312" si="11">IFERROR(INDEX(B$1:B$100,MATCH(A301,A$1:A$100,0)),"")</f>
        <v>Aleksander Korikov, Väino Aul</v>
      </c>
      <c r="C301" s="34">
        <f t="shared" ref="C301:C312" si="12">C300-1</f>
        <v>12</v>
      </c>
      <c r="D301" s="34"/>
      <c r="E301" s="34"/>
      <c r="O301" s="188"/>
    </row>
    <row r="302" spans="1:15" x14ac:dyDescent="0.2">
      <c r="A302" s="279">
        <v>3</v>
      </c>
      <c r="B302" s="1334" t="str">
        <f t="shared" si="11"/>
        <v>Elmo Lageda, Tõnu Piik</v>
      </c>
      <c r="C302" s="34">
        <f t="shared" si="12"/>
        <v>11</v>
      </c>
      <c r="D302" s="34"/>
      <c r="E302" s="34"/>
      <c r="O302" s="188"/>
    </row>
    <row r="303" spans="1:15" x14ac:dyDescent="0.2">
      <c r="A303" s="279">
        <v>4</v>
      </c>
      <c r="B303" s="1334" t="str">
        <f t="shared" si="11"/>
        <v>Jaan Sepp, Melika Lehtla</v>
      </c>
      <c r="C303" s="34">
        <f t="shared" si="12"/>
        <v>10</v>
      </c>
      <c r="D303" s="34"/>
      <c r="E303" s="34"/>
      <c r="O303" s="188"/>
    </row>
    <row r="304" spans="1:15" x14ac:dyDescent="0.2">
      <c r="A304" s="279">
        <v>5</v>
      </c>
      <c r="B304" s="1334" t="str">
        <f t="shared" si="11"/>
        <v>Kenneth Muusikus, Peep Peenema</v>
      </c>
      <c r="C304" s="34">
        <f t="shared" si="12"/>
        <v>9</v>
      </c>
      <c r="D304" s="34"/>
      <c r="E304" s="34"/>
      <c r="O304" s="188"/>
    </row>
    <row r="305" spans="1:15" x14ac:dyDescent="0.2">
      <c r="A305" s="279">
        <v>6</v>
      </c>
      <c r="B305" s="1334" t="str">
        <f t="shared" si="11"/>
        <v>Henri Mitt, Urmas Jõeäär</v>
      </c>
      <c r="C305" s="34">
        <f t="shared" si="12"/>
        <v>8</v>
      </c>
      <c r="D305" s="34"/>
      <c r="E305" s="34"/>
    </row>
    <row r="306" spans="1:15" x14ac:dyDescent="0.2">
      <c r="A306" s="279">
        <v>7</v>
      </c>
      <c r="B306" s="1334" t="str">
        <f t="shared" si="11"/>
        <v>Oksana Sažina, Oleg Rõndenkov</v>
      </c>
      <c r="C306" s="34">
        <f t="shared" si="12"/>
        <v>7</v>
      </c>
      <c r="D306" s="34"/>
      <c r="E306" s="34"/>
    </row>
    <row r="307" spans="1:15" x14ac:dyDescent="0.2">
      <c r="A307" s="279">
        <v>8</v>
      </c>
      <c r="B307" s="1334" t="str">
        <f t="shared" si="11"/>
        <v>Tõnu Kapper, Vladimir Ogneštšikov</v>
      </c>
      <c r="C307" s="34">
        <f t="shared" si="12"/>
        <v>6</v>
      </c>
      <c r="D307" s="34"/>
      <c r="E307" s="34"/>
      <c r="O307" s="188"/>
    </row>
    <row r="308" spans="1:15" x14ac:dyDescent="0.2">
      <c r="A308" s="279">
        <v>9</v>
      </c>
      <c r="B308" s="1334" t="str">
        <f t="shared" si="11"/>
        <v>Meelis Luud, Urmas Randlaine</v>
      </c>
      <c r="C308" s="34">
        <f t="shared" si="12"/>
        <v>5</v>
      </c>
      <c r="D308" s="34"/>
      <c r="E308" s="34"/>
      <c r="O308" s="188"/>
    </row>
    <row r="309" spans="1:15" x14ac:dyDescent="0.2">
      <c r="A309" s="279">
        <v>10</v>
      </c>
      <c r="B309" s="1334" t="str">
        <f t="shared" si="11"/>
        <v>Andres Veski, Svetlana Veski</v>
      </c>
      <c r="C309" s="34">
        <f t="shared" si="12"/>
        <v>4</v>
      </c>
      <c r="D309" s="34"/>
      <c r="E309" s="34"/>
      <c r="O309" s="188"/>
    </row>
    <row r="310" spans="1:15" x14ac:dyDescent="0.2">
      <c r="A310" s="279">
        <v>11</v>
      </c>
      <c r="B310" s="1334" t="str">
        <f t="shared" si="11"/>
        <v>Brigitta Neiland, Johannes Neiland</v>
      </c>
      <c r="C310" s="34">
        <f t="shared" si="12"/>
        <v>3</v>
      </c>
      <c r="D310" s="34"/>
      <c r="E310" s="34"/>
    </row>
    <row r="311" spans="1:15" x14ac:dyDescent="0.2">
      <c r="A311" s="279">
        <v>12</v>
      </c>
      <c r="B311" s="1334" t="str">
        <f t="shared" si="11"/>
        <v>Enn Tokman, Tarmo Bombe</v>
      </c>
      <c r="C311" s="34">
        <f t="shared" si="12"/>
        <v>2</v>
      </c>
      <c r="D311" s="34"/>
      <c r="E311" s="34"/>
    </row>
    <row r="312" spans="1:15" x14ac:dyDescent="0.2">
      <c r="A312" s="279">
        <v>13</v>
      </c>
      <c r="B312" s="1334" t="str">
        <f t="shared" si="11"/>
        <v>Karla Purgats, Lemmit Toomra</v>
      </c>
      <c r="C312" s="34">
        <f t="shared" si="12"/>
        <v>1</v>
      </c>
      <c r="D312" s="34"/>
      <c r="E312" s="34"/>
      <c r="F312" s="862"/>
    </row>
    <row r="313" spans="1:15" x14ac:dyDescent="0.2">
      <c r="D313" s="34"/>
      <c r="E313" s="34"/>
      <c r="F313" s="34"/>
      <c r="O313" s="188"/>
    </row>
    <row r="317" spans="1:15" x14ac:dyDescent="0.2">
      <c r="O317" s="188"/>
    </row>
  </sheetData>
  <conditionalFormatting sqref="A300:A312">
    <cfRule type="duplicateValues" dxfId="578" priority="87"/>
  </conditionalFormatting>
  <conditionalFormatting sqref="AI8:AI20 AO8:AO20 AM8:AM20">
    <cfRule type="expression" dxfId="577" priority="86">
      <formula>AND(AJ8="",COUNTIF(AI8,"*,*")=0)</formula>
    </cfRule>
  </conditionalFormatting>
  <conditionalFormatting sqref="AK8:AK20">
    <cfRule type="expression" dxfId="576" priority="84">
      <formula>AND(AL8="",FIND(",",AK8))</formula>
    </cfRule>
    <cfRule type="expression" dxfId="575" priority="85">
      <formula>AND(AL8="",COUNTIF(AK8,"*,*")=0)</formula>
    </cfRule>
  </conditionalFormatting>
  <conditionalFormatting sqref="B301:B312">
    <cfRule type="containsBlanks" dxfId="574" priority="82">
      <formula>LEN(TRIM(B301))=0</formula>
    </cfRule>
    <cfRule type="duplicateValues" dxfId="573" priority="83"/>
  </conditionalFormatting>
  <conditionalFormatting sqref="B300:B312">
    <cfRule type="expression" dxfId="572" priority="77">
      <formula>A300=3</formula>
    </cfRule>
    <cfRule type="expression" dxfId="571" priority="78">
      <formula>A300=2</formula>
    </cfRule>
    <cfRule type="expression" dxfId="570" priority="79">
      <formula>A300=1</formula>
    </cfRule>
    <cfRule type="containsBlanks" dxfId="569" priority="80">
      <formula>LEN(TRIM(B300))=0</formula>
    </cfRule>
    <cfRule type="duplicateValues" dxfId="568" priority="81"/>
  </conditionalFormatting>
  <conditionalFormatting sqref="A8:A20">
    <cfRule type="duplicateValues" dxfId="567" priority="40"/>
  </conditionalFormatting>
  <conditionalFormatting sqref="C8:C20">
    <cfRule type="expression" dxfId="566" priority="21">
      <formula>IF($C8&gt;$E8,TRUE)</formula>
    </cfRule>
  </conditionalFormatting>
  <conditionalFormatting sqref="E8:E20">
    <cfRule type="expression" dxfId="565" priority="22">
      <formula>IF($C8&lt;$E8,TRUE)</formula>
    </cfRule>
  </conditionalFormatting>
  <conditionalFormatting sqref="K8:K20">
    <cfRule type="expression" dxfId="564" priority="29">
      <formula>IF($K8&gt;$M8,TRUE)</formula>
    </cfRule>
  </conditionalFormatting>
  <conditionalFormatting sqref="M8:M20">
    <cfRule type="expression" dxfId="563" priority="30">
      <formula>IF($K8&lt;$M8,TRUE)</formula>
    </cfRule>
  </conditionalFormatting>
  <conditionalFormatting sqref="O8:O20">
    <cfRule type="expression" dxfId="562" priority="33">
      <formula>IF($O8&gt;$Q8,TRUE)</formula>
    </cfRule>
  </conditionalFormatting>
  <conditionalFormatting sqref="Q8:Q20">
    <cfRule type="expression" dxfId="561" priority="34">
      <formula>IF($O8&lt;$Q8,TRUE)</formula>
    </cfRule>
  </conditionalFormatting>
  <conditionalFormatting sqref="S8:S20">
    <cfRule type="expression" dxfId="560" priority="37">
      <formula>IF($S8&gt;$U8,TRUE)</formula>
    </cfRule>
  </conditionalFormatting>
  <conditionalFormatting sqref="U8:U19">
    <cfRule type="expression" dxfId="559" priority="38">
      <formula>IF($S8&lt;$U8,TRUE)</formula>
    </cfRule>
  </conditionalFormatting>
  <conditionalFormatting sqref="G8:G20">
    <cfRule type="expression" dxfId="558" priority="25">
      <formula>IF($G8&gt;$I8,TRUE)</formula>
    </cfRule>
  </conditionalFormatting>
  <conditionalFormatting sqref="I8:I20">
    <cfRule type="expression" dxfId="557" priority="26">
      <formula>IF($G8&lt;$I8,TRUE)</formula>
    </cfRule>
  </conditionalFormatting>
  <conditionalFormatting sqref="F8:F20">
    <cfRule type="containsText" dxfId="556" priority="7" operator="containsText" text="vaba voor">
      <formula>NOT(ISERROR(SEARCH("vaba voor",F8)))</formula>
    </cfRule>
  </conditionalFormatting>
  <conditionalFormatting sqref="N8:N20">
    <cfRule type="containsText" dxfId="555" priority="5" operator="containsText" text="vaba voor">
      <formula>NOT(ISERROR(SEARCH("vaba voor",N8)))</formula>
    </cfRule>
  </conditionalFormatting>
  <conditionalFormatting sqref="R8:R20">
    <cfRule type="containsText" dxfId="554" priority="8" operator="containsText" text="vaba voor">
      <formula>NOT(ISERROR(SEARCH("vaba voor",R8)))</formula>
    </cfRule>
  </conditionalFormatting>
  <conditionalFormatting sqref="V8:V20">
    <cfRule type="containsText" dxfId="553" priority="4" operator="containsText" text="vaba voor">
      <formula>NOT(ISERROR(SEARCH("vaba voor",V8)))</formula>
    </cfRule>
  </conditionalFormatting>
  <conditionalFormatting sqref="Z8:Z20">
    <cfRule type="containsText" dxfId="552" priority="3" operator="containsText" text="vaba voor">
      <formula>NOT(ISERROR(SEARCH("vaba voor",Z8)))</formula>
    </cfRule>
  </conditionalFormatting>
  <conditionalFormatting sqref="W8:W20">
    <cfRule type="expression" dxfId="551" priority="12">
      <formula>IF($W8&gt;$Y8,TRUE)</formula>
    </cfRule>
  </conditionalFormatting>
  <conditionalFormatting sqref="Y8:Y20">
    <cfRule type="expression" dxfId="550" priority="13">
      <formula>IF($W8&lt;$Y8,TRUE)</formula>
    </cfRule>
  </conditionalFormatting>
  <conditionalFormatting sqref="J8:J20">
    <cfRule type="containsText" dxfId="549" priority="6" operator="containsText" text="vaba voor">
      <formula>NOT(ISERROR(SEARCH("vaba voor",J8)))</formula>
    </cfRule>
  </conditionalFormatting>
  <conditionalFormatting sqref="C8:F20">
    <cfRule type="expression" dxfId="548" priority="17">
      <formula>IF(AND(ISNUMBER($C8),$C8=$E8),TRUE)</formula>
    </cfRule>
    <cfRule type="expression" dxfId="547" priority="19">
      <formula>IF($C8&gt;$E8,TRUE)</formula>
    </cfRule>
    <cfRule type="expression" dxfId="546" priority="20">
      <formula>IF($C8&lt;$E8,TRUE)</formula>
    </cfRule>
  </conditionalFormatting>
  <conditionalFormatting sqref="G8:J20">
    <cfRule type="expression" dxfId="545" priority="18">
      <formula>IF(AND(ISNUMBER($G8),$G8=$I8),TRUE)</formula>
    </cfRule>
    <cfRule type="expression" dxfId="544" priority="23">
      <formula>IF($G8&gt;$I8,TRUE)</formula>
    </cfRule>
    <cfRule type="expression" dxfId="543" priority="24">
      <formula>IF($G8&lt;$I8,TRUE)</formula>
    </cfRule>
  </conditionalFormatting>
  <conditionalFormatting sqref="K8:N20">
    <cfRule type="expression" dxfId="542" priority="16">
      <formula>IF(AND(ISNUMBER($K8),$K8=$M8),TRUE)</formula>
    </cfRule>
    <cfRule type="expression" dxfId="541" priority="27">
      <formula>IF($K8&gt;$M8,TRUE)</formula>
    </cfRule>
    <cfRule type="expression" dxfId="540" priority="28">
      <formula>IF($K8&lt;$M8,TRUE)</formula>
    </cfRule>
  </conditionalFormatting>
  <conditionalFormatting sqref="O8:R20">
    <cfRule type="expression" dxfId="539" priority="15">
      <formula>IF(AND(ISNUMBER($O8),$O8=$Q8),TRUE)</formula>
    </cfRule>
    <cfRule type="expression" dxfId="538" priority="31">
      <formula>IF($O8&gt;$Q8,TRUE)</formula>
    </cfRule>
    <cfRule type="expression" dxfId="537" priority="32">
      <formula>IF($O8&lt;$Q8,TRUE)</formula>
    </cfRule>
  </conditionalFormatting>
  <conditionalFormatting sqref="S8:V20">
    <cfRule type="expression" dxfId="536" priority="14">
      <formula>IF(AND(ISNUMBER($S8),$S8=$U8),TRUE)</formula>
    </cfRule>
    <cfRule type="expression" dxfId="535" priority="35">
      <formula>IF($S8&gt;$U8,TRUE)</formula>
    </cfRule>
    <cfRule type="expression" dxfId="534" priority="36">
      <formula>IF($S8&lt;$U8,TRUE)</formula>
    </cfRule>
  </conditionalFormatting>
  <conditionalFormatting sqref="W8:Z20">
    <cfRule type="expression" dxfId="533" priority="9">
      <formula>IF(AND(ISNUMBER($W8),$W8=$Y8),TRUE)</formula>
    </cfRule>
    <cfRule type="expression" dxfId="532" priority="10">
      <formula>IF($W8&gt;$Y8,TRUE)</formula>
    </cfRule>
    <cfRule type="expression" dxfId="531" priority="11">
      <formula>IF($W8&lt;$Y8,TRUE)</formula>
    </cfRule>
  </conditionalFormatting>
  <conditionalFormatting sqref="C8:C20 G8:G20 K8:K20 O8:O20 S8:S20 W8:W20">
    <cfRule type="expression" dxfId="530" priority="1">
      <formula>AND(C8=0,E8=13)</formula>
    </cfRule>
  </conditionalFormatting>
  <conditionalFormatting sqref="E8:E20 I8:I20 M8:M20 Q8:Q20 U8:U20 Y8:Y20">
    <cfRule type="expression" dxfId="529" priority="2">
      <formula>AND(E8=0,C8=13)</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CFFCC"/>
    <pageSetUpPr fitToPage="1"/>
  </sheetPr>
  <dimension ref="A1:AP317"/>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44" style="32" bestFit="1"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UPPER((Kalend!E27)&amp;" - "&amp;(Kalend!C27)&amp;" - "&amp;(Kalend!D27))</f>
        <v>V5 - VOKA 5. KV 5.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"&amp;(Kalend!A27)&amp;" kell "&amp;(Kalend!B27)</f>
        <v>Toimumisaeg: K, 04.07.2018 kell 18:00</v>
      </c>
      <c r="Y2" s="56" t="s">
        <v>449</v>
      </c>
      <c r="AE2" s="56" t="s">
        <v>449</v>
      </c>
    </row>
    <row r="3" spans="1:42" x14ac:dyDescent="0.2">
      <c r="A3" s="2" t="str">
        <f>"Toimumiskoht: "&amp;(Kalend!F27)</f>
        <v>Toimumiskoht: Voka staadion</v>
      </c>
      <c r="G3" s="1337"/>
      <c r="H3" s="1337"/>
      <c r="I3" s="1338" t="s">
        <v>446</v>
      </c>
      <c r="J3" s="659">
        <v>1</v>
      </c>
      <c r="K3" s="188" t="s">
        <v>493</v>
      </c>
    </row>
    <row r="4" spans="1:42" x14ac:dyDescent="0.2">
      <c r="A4" s="2" t="str">
        <f>"Korraldaja: "&amp;(Kalend!G27)</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O5" s="1350">
        <v>0</v>
      </c>
      <c r="Q5" s="188" t="s">
        <v>737</v>
      </c>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51" t="s">
        <v>440</v>
      </c>
      <c r="C8" s="1323">
        <v>13</v>
      </c>
      <c r="D8" s="1324" t="s">
        <v>211</v>
      </c>
      <c r="E8" s="1325">
        <v>12</v>
      </c>
      <c r="F8" s="1315" t="str">
        <f>B21</f>
        <v>Aarne Välja, Andrei Grintšak</v>
      </c>
      <c r="G8" s="1323">
        <v>13</v>
      </c>
      <c r="H8" s="1324" t="s">
        <v>211</v>
      </c>
      <c r="I8" s="1325">
        <v>8</v>
      </c>
      <c r="J8" s="1315" t="str">
        <f>B12</f>
        <v>Andres Veski, Svetlana Veski</v>
      </c>
      <c r="K8" s="1323">
        <v>13</v>
      </c>
      <c r="L8" s="1324" t="s">
        <v>211</v>
      </c>
      <c r="M8" s="1325">
        <v>6</v>
      </c>
      <c r="N8" s="1315" t="str">
        <f>B10</f>
        <v>Boriss Klubov, Mait Metsla</v>
      </c>
      <c r="O8" s="1323">
        <v>13</v>
      </c>
      <c r="P8" s="1324" t="s">
        <v>211</v>
      </c>
      <c r="Q8" s="1325">
        <v>4</v>
      </c>
      <c r="R8" s="1315" t="str">
        <f>B9</f>
        <v>Kenneth Muusikus, Meelis Luud, Urmas Randlaine</v>
      </c>
      <c r="S8" s="1323">
        <v>13</v>
      </c>
      <c r="T8" s="1324" t="s">
        <v>211</v>
      </c>
      <c r="U8" s="1325">
        <v>7</v>
      </c>
      <c r="V8" s="1315" t="str">
        <f>B11</f>
        <v>Tõnu Kapper, Vladimir Ogneštšikov</v>
      </c>
      <c r="W8" s="1323"/>
      <c r="X8" s="1324" t="s">
        <v>211</v>
      </c>
      <c r="Y8" s="1325"/>
      <c r="Z8" s="1315"/>
      <c r="AA8" s="1330">
        <f t="shared" ref="AA8:AA21" si="0">IF(C8&gt;E8,J$3,IF(C8&lt;E8,J$5,IF(ISNUMBER(C8),J$4,0)))+IF(G8&gt;I8,J$3,IF(G8&lt;I8,J$5,IF(ISNUMBER(G8),J$4,0)))+IF(K8&gt;M8,J$3,IF(K8&lt;M8,J$5,IF(ISNUMBER(K8),J$4,0)))+IF(O8&gt;Q8,J$3,IF(O8&lt;Q8,J$5,IF(ISNUMBER(O8),J$4,0)))+IF(S8&gt;U8,J$3,IF(S8&lt;U8,J$5,IF(ISNUMBER(S8),J$4,0)))+IF(W8&gt;Y8,J$3,IF(W8&lt;Y8,J$5,IF(ISNUMBER(W8),J$4,0)))</f>
        <v>5</v>
      </c>
      <c r="AB8" s="1331"/>
      <c r="AC8" s="1323">
        <f t="shared" ref="AC8:AC21" si="1">C8+G8+K8+O8+S8+W8</f>
        <v>65</v>
      </c>
      <c r="AD8" s="1324" t="s">
        <v>211</v>
      </c>
      <c r="AE8" s="1326">
        <f t="shared" ref="AE8:AE21" si="2">E8+I8+M8+Q8+U8+Y8</f>
        <v>37</v>
      </c>
      <c r="AF8" s="1327">
        <f t="shared" ref="AF8:AF21" si="3">AC8-AE8</f>
        <v>28</v>
      </c>
      <c r="AG8" s="663"/>
      <c r="AH8" s="499">
        <f t="shared" ref="AH8" si="4">SUM(AJ8:AP8)</f>
        <v>154</v>
      </c>
      <c r="AI8" s="605" t="str">
        <f t="shared" ref="AI8:AI21" si="5">IFERROR(LEFT($B8,(FIND(",",$B8,1)-1)),"")</f>
        <v>Jaan Sepp</v>
      </c>
      <c r="AJ8" s="604">
        <f>IFERROR(INDEX(V!$N:$N,MATCH(AI8,V!$I:$I,0)),"")</f>
        <v>98</v>
      </c>
      <c r="AK8" s="605" t="str">
        <f t="shared" ref="AK8:AK21" si="6">IFERROR(MID($B8,FIND(", ",$B8)+2,256),"")</f>
        <v>Oskar Sepp</v>
      </c>
      <c r="AL8" s="604">
        <f>IFERROR(INDEX(V!$N:$N,MATCH(AK8,V!$I:$I,0)),"")</f>
        <v>56</v>
      </c>
      <c r="AM8" s="603" t="str">
        <f t="shared" ref="AM8:AM21" si="7">IFERROR(MID($B8,FIND("^",SUBSTITUTE($B8,", ","^",1))+2,FIND("^",SUBSTITUTE($B8,", ","^",2))-FIND("^",SUBSTITUTE($B8,", ","^",1))-2),"")</f>
        <v/>
      </c>
      <c r="AN8" s="604" t="str">
        <f>IFERROR(INDEX(V!$N:$N,MATCH(AM8,V!$I:$I,0)),"")</f>
        <v/>
      </c>
      <c r="AO8" s="603" t="str">
        <f t="shared" ref="AO8:AO21" si="8">IFERROR(MID($B8,FIND(", ",$B8,FIND(", ",$B8,FIND(", ",$B8))+1)+2,700),"")</f>
        <v/>
      </c>
      <c r="AP8" s="604" t="str">
        <f>IFERROR(INDEX(V!$N:$N,MATCH(AO8,V!$I:$I,0)),"")</f>
        <v/>
      </c>
    </row>
    <row r="9" spans="1:42" ht="12.75" customHeight="1" x14ac:dyDescent="0.2">
      <c r="A9" s="1319">
        <v>2</v>
      </c>
      <c r="B9" s="1351" t="s">
        <v>571</v>
      </c>
      <c r="C9" s="1323">
        <v>13</v>
      </c>
      <c r="D9" s="1324" t="s">
        <v>211</v>
      </c>
      <c r="E9" s="1325">
        <v>4</v>
      </c>
      <c r="F9" s="1315" t="str">
        <f>B17</f>
        <v>Karla Purgats, Lemmit Toomra</v>
      </c>
      <c r="G9" s="1323">
        <v>13</v>
      </c>
      <c r="H9" s="1324" t="s">
        <v>211</v>
      </c>
      <c r="I9" s="1325">
        <v>4</v>
      </c>
      <c r="J9" s="1315" t="str">
        <f>B19</f>
        <v>Enn Tokman, Tarmo Bombe</v>
      </c>
      <c r="K9" s="1323">
        <v>13</v>
      </c>
      <c r="L9" s="1324" t="s">
        <v>211</v>
      </c>
      <c r="M9" s="1325">
        <v>2</v>
      </c>
      <c r="N9" s="1315" t="str">
        <f>B16</f>
        <v>Janek Tarto, Romek Tarto</v>
      </c>
      <c r="O9" s="1323">
        <v>4</v>
      </c>
      <c r="P9" s="1324" t="s">
        <v>211</v>
      </c>
      <c r="Q9" s="1325">
        <v>13</v>
      </c>
      <c r="R9" s="1315" t="str">
        <f>B8</f>
        <v>Jaan Sepp, Oskar Sepp</v>
      </c>
      <c r="S9" s="1323">
        <v>13</v>
      </c>
      <c r="T9" s="1324" t="s">
        <v>211</v>
      </c>
      <c r="U9" s="1325">
        <v>8</v>
      </c>
      <c r="V9" s="1315" t="str">
        <f>B10</f>
        <v>Boriss Klubov, Mait Metsla</v>
      </c>
      <c r="W9" s="1323"/>
      <c r="X9" s="1324" t="s">
        <v>211</v>
      </c>
      <c r="Y9" s="1325"/>
      <c r="Z9" s="1315"/>
      <c r="AA9" s="1330">
        <f t="shared" si="0"/>
        <v>4</v>
      </c>
      <c r="AB9" s="1331"/>
      <c r="AC9" s="1323">
        <f t="shared" si="1"/>
        <v>56</v>
      </c>
      <c r="AD9" s="1324" t="s">
        <v>211</v>
      </c>
      <c r="AE9" s="1326">
        <f t="shared" si="2"/>
        <v>31</v>
      </c>
      <c r="AF9" s="1327">
        <f t="shared" si="3"/>
        <v>25</v>
      </c>
      <c r="AG9" s="663"/>
      <c r="AH9" s="499">
        <f t="shared" ref="AH9:AH18" si="9">SUM(AJ9:AP9)</f>
        <v>201</v>
      </c>
      <c r="AI9" s="605" t="str">
        <f t="shared" si="5"/>
        <v>Kenneth Muusikus</v>
      </c>
      <c r="AJ9" s="604">
        <f>IFERROR(INDEX(V!$N:$N,MATCH(AI9,V!$I:$I,0)),"")</f>
        <v>87</v>
      </c>
      <c r="AK9" s="605" t="str">
        <f t="shared" si="6"/>
        <v>Meelis Luud, Urmas Randlaine</v>
      </c>
      <c r="AL9" s="604" t="str">
        <f>IFERROR(INDEX(V!$N:$N,MATCH(AK9,V!$I:$I,0)),"")</f>
        <v/>
      </c>
      <c r="AM9" s="603" t="str">
        <f t="shared" si="7"/>
        <v>Meelis Luud</v>
      </c>
      <c r="AN9" s="604">
        <f>IFERROR(INDEX(V!$N:$N,MATCH(AM9,V!$I:$I,0)),"")</f>
        <v>60.5</v>
      </c>
      <c r="AO9" s="603" t="str">
        <f t="shared" si="8"/>
        <v>Urmas Randlaine</v>
      </c>
      <c r="AP9" s="604">
        <f>IFERROR(INDEX(V!$N:$N,MATCH(AO9,V!$I:$I,0)),"")</f>
        <v>53.5</v>
      </c>
    </row>
    <row r="10" spans="1:42" ht="12.75" customHeight="1" x14ac:dyDescent="0.2">
      <c r="A10" s="1356">
        <v>3</v>
      </c>
      <c r="B10" s="1352" t="s">
        <v>566</v>
      </c>
      <c r="C10" s="1323">
        <v>13</v>
      </c>
      <c r="D10" s="1324" t="s">
        <v>211</v>
      </c>
      <c r="E10" s="1325">
        <v>11</v>
      </c>
      <c r="F10" s="1315" t="str">
        <f>B18</f>
        <v>Brigitta Neiland, Einar Juhkam, Johannes Neiland</v>
      </c>
      <c r="G10" s="1323">
        <v>13</v>
      </c>
      <c r="H10" s="1324" t="s">
        <v>211</v>
      </c>
      <c r="I10" s="1325">
        <v>2</v>
      </c>
      <c r="J10" s="1315" t="str">
        <f>B14</f>
        <v>Henri Mitt, Urmas Jõeäär</v>
      </c>
      <c r="K10" s="1323">
        <v>6</v>
      </c>
      <c r="L10" s="1324" t="s">
        <v>211</v>
      </c>
      <c r="M10" s="1325">
        <v>13</v>
      </c>
      <c r="N10" s="1315" t="str">
        <f>B8</f>
        <v>Jaan Sepp, Oskar Sepp</v>
      </c>
      <c r="O10" s="1323">
        <v>13</v>
      </c>
      <c r="P10" s="1324" t="s">
        <v>211</v>
      </c>
      <c r="Q10" s="1325">
        <v>5</v>
      </c>
      <c r="R10" s="1315" t="str">
        <f>B16</f>
        <v>Janek Tarto, Romek Tarto</v>
      </c>
      <c r="S10" s="1323">
        <v>8</v>
      </c>
      <c r="T10" s="1324" t="s">
        <v>211</v>
      </c>
      <c r="U10" s="1325">
        <v>13</v>
      </c>
      <c r="V10" s="1315" t="str">
        <f>B9</f>
        <v>Kenneth Muusikus, Meelis Luud, Urmas Randlaine</v>
      </c>
      <c r="W10" s="1323"/>
      <c r="X10" s="1324" t="s">
        <v>211</v>
      </c>
      <c r="Y10" s="1325"/>
      <c r="Z10" s="1315"/>
      <c r="AA10" s="1335">
        <f>IF(C10&gt;E10,J$3,IF(C10&lt;E10,J$5,IF(ISNUMBER(C10),J$4,0)))+IF(G10&gt;I10,J$3,IF(G10&lt;I10,J$5,IF(ISNUMBER(G10),J$4,0)))+IF(K10&gt;M10,J$3,IF(K10&lt;M10,J$5,IF(ISNUMBER(K10),J$4,0)))+IF(O10&gt;Q10,J$3,IF(O10&lt;Q10,J$5,IF(ISNUMBER(O10),J$4,0)))+IF(S10&gt;U10,J$3,IF(S10&lt;U10,J$5,IF(ISNUMBER(S10),J$4,0)))+IF(W10&gt;Y10,J$3,IF(W10&lt;Y10,J$5,IF(ISNUMBER(W10),J$4,0)))</f>
        <v>3</v>
      </c>
      <c r="AB10" s="1331"/>
      <c r="AC10" s="1323">
        <f>C10+G10+K10+O10+S10+W10</f>
        <v>53</v>
      </c>
      <c r="AD10" s="1324" t="s">
        <v>211</v>
      </c>
      <c r="AE10" s="1326">
        <f>E10+I10+M10+Q10+U10+Y10</f>
        <v>44</v>
      </c>
      <c r="AF10" s="1327">
        <f>AC11-AE11</f>
        <v>-1</v>
      </c>
      <c r="AG10" s="663"/>
      <c r="AH10" s="499">
        <f t="shared" si="9"/>
        <v>113</v>
      </c>
      <c r="AI10" s="605" t="str">
        <f>IFERROR(LEFT($B11,(FIND(",",$B11,1)-1)),"")</f>
        <v>Tõnu Kapper</v>
      </c>
      <c r="AJ10" s="604">
        <f>IFERROR(INDEX(V!$N:$N,MATCH(AI10,V!$I:$I,0)),"")</f>
        <v>65</v>
      </c>
      <c r="AK10" s="605" t="str">
        <f>IFERROR(MID($B11,FIND(", ",$B11)+2,256),"")</f>
        <v>Vladimir Ogneštšikov</v>
      </c>
      <c r="AL10" s="604">
        <f>IFERROR(INDEX(V!$N:$N,MATCH(AK10,V!$I:$I,0)),"")</f>
        <v>48</v>
      </c>
      <c r="AM10" s="603" t="str">
        <f>IFERROR(MID($B11,FIND("^",SUBSTITUTE($B11,", ","^",1))+2,FIND("^",SUBSTITUTE($B11,", ","^",2))-FIND("^",SUBSTITUTE($B11,", ","^",1))-2),"")</f>
        <v/>
      </c>
      <c r="AN10" s="604" t="str">
        <f>IFERROR(INDEX(V!$N:$N,MATCH(AM10,V!$I:$I,0)),"")</f>
        <v/>
      </c>
      <c r="AO10" s="603" t="str">
        <f>IFERROR(MID($B11,FIND(", ",$B11,FIND(", ",$B11,FIND(", ",$B11))+1)+2,700),"")</f>
        <v/>
      </c>
      <c r="AP10" s="604" t="str">
        <f>IFERROR(INDEX(V!$N:$N,MATCH(AO10,V!$I:$I,0)),"")</f>
        <v/>
      </c>
    </row>
    <row r="11" spans="1:42" ht="12.75" customHeight="1" x14ac:dyDescent="0.2">
      <c r="A11" s="1356">
        <v>3</v>
      </c>
      <c r="B11" s="1352" t="s">
        <v>38</v>
      </c>
      <c r="C11" s="1323">
        <v>5</v>
      </c>
      <c r="D11" s="1324" t="s">
        <v>211</v>
      </c>
      <c r="E11" s="1325">
        <v>13</v>
      </c>
      <c r="F11" s="1315" t="str">
        <f>B16</f>
        <v>Janek Tarto, Romek Tarto</v>
      </c>
      <c r="G11" s="1323">
        <v>13</v>
      </c>
      <c r="H11" s="1324" t="s">
        <v>211</v>
      </c>
      <c r="I11" s="1325">
        <v>12</v>
      </c>
      <c r="J11" s="1315" t="str">
        <f>B17</f>
        <v>Karla Purgats, Lemmit Toomra</v>
      </c>
      <c r="K11" s="1323">
        <v>13</v>
      </c>
      <c r="L11" s="1324" t="s">
        <v>211</v>
      </c>
      <c r="M11" s="1325">
        <v>10</v>
      </c>
      <c r="N11" s="1315" t="str">
        <f>B19</f>
        <v>Enn Tokman, Tarmo Bombe</v>
      </c>
      <c r="O11" s="1323">
        <v>13</v>
      </c>
      <c r="P11" s="1324" t="s">
        <v>211</v>
      </c>
      <c r="Q11" s="1325">
        <v>4</v>
      </c>
      <c r="R11" s="1315" t="str">
        <f>B12</f>
        <v>Andres Veski, Svetlana Veski</v>
      </c>
      <c r="S11" s="1323">
        <v>7</v>
      </c>
      <c r="T11" s="1324" t="s">
        <v>211</v>
      </c>
      <c r="U11" s="1325">
        <v>13</v>
      </c>
      <c r="V11" s="1315" t="str">
        <f>B8</f>
        <v>Jaan Sepp, Oskar Sepp</v>
      </c>
      <c r="W11" s="1323"/>
      <c r="X11" s="1324" t="s">
        <v>211</v>
      </c>
      <c r="Y11" s="1325"/>
      <c r="Z11" s="1315"/>
      <c r="AA11" s="1335">
        <f>IF(C11&gt;E11,J$3,IF(C11&lt;E11,J$5,IF(ISNUMBER(C11),J$4,0)))+IF(G11&gt;I11,J$3,IF(G11&lt;I11,J$5,IF(ISNUMBER(G11),J$4,0)))+IF(K11&gt;M11,J$3,IF(K11&lt;M11,J$5,IF(ISNUMBER(K11),J$4,0)))+IF(O11&gt;Q11,J$3,IF(O11&lt;Q11,J$5,IF(ISNUMBER(O11),J$4,0)))+IF(S11&gt;U11,J$3,IF(S11&lt;U11,J$5,IF(ISNUMBER(S11),J$4,0)))+IF(W11&gt;Y11,J$3,IF(W11&lt;Y11,J$5,IF(ISNUMBER(W11),J$4,0)))</f>
        <v>3</v>
      </c>
      <c r="AB11" s="1331"/>
      <c r="AC11" s="1323">
        <f>C11+G11+K11+O11+S11+W11</f>
        <v>51</v>
      </c>
      <c r="AD11" s="1324" t="s">
        <v>211</v>
      </c>
      <c r="AE11" s="1326">
        <f>E11+I11+M11+Q11+U11+Y11</f>
        <v>52</v>
      </c>
      <c r="AF11" s="1327">
        <f>AC10-AE10</f>
        <v>9</v>
      </c>
      <c r="AG11" s="663"/>
      <c r="AH11" s="499">
        <f t="shared" si="9"/>
        <v>154</v>
      </c>
      <c r="AI11" s="605" t="str">
        <f>IFERROR(LEFT($B10,(FIND(",",$B10,1)-1)),"")</f>
        <v>Boriss Klubov</v>
      </c>
      <c r="AJ11" s="604">
        <f>IFERROR(INDEX(V!$N:$N,MATCH(AI11,V!$I:$I,0)),"")</f>
        <v>65</v>
      </c>
      <c r="AK11" s="605" t="str">
        <f>IFERROR(MID($B10,FIND(", ",$B10)+2,256),"")</f>
        <v>Mait Metsla</v>
      </c>
      <c r="AL11" s="604">
        <f>IFERROR(INDEX(V!$N:$N,MATCH(AK11,V!$I:$I,0)),"")</f>
        <v>89</v>
      </c>
      <c r="AM11" s="603" t="str">
        <f>IFERROR(MID($B10,FIND("^",SUBSTITUTE($B10,", ","^",1))+2,FIND("^",SUBSTITUTE($B10,", ","^",2))-FIND("^",SUBSTITUTE($B10,", ","^",1))-2),"")</f>
        <v/>
      </c>
      <c r="AN11" s="604" t="str">
        <f>IFERROR(INDEX(V!$N:$N,MATCH(AM11,V!$I:$I,0)),"")</f>
        <v/>
      </c>
      <c r="AO11" s="603" t="str">
        <f>IFERROR(MID($B10,FIND(", ",$B10,FIND(", ",$B10,FIND(", ",$B10))+1)+2,700),"")</f>
        <v/>
      </c>
      <c r="AP11" s="604" t="str">
        <f>IFERROR(INDEX(V!$N:$N,MATCH(AO11,V!$I:$I,0)),"")</f>
        <v/>
      </c>
    </row>
    <row r="12" spans="1:42" ht="12.75" customHeight="1" x14ac:dyDescent="0.2">
      <c r="A12" s="1319">
        <v>5</v>
      </c>
      <c r="B12" s="1352" t="s">
        <v>491</v>
      </c>
      <c r="C12" s="1323">
        <v>13</v>
      </c>
      <c r="D12" s="1324" t="s">
        <v>211</v>
      </c>
      <c r="E12" s="1325">
        <v>10</v>
      </c>
      <c r="F12" s="1315" t="str">
        <f>B15</f>
        <v>Oksana Sažina, Oleg Rõndenkov</v>
      </c>
      <c r="G12" s="1323">
        <v>8</v>
      </c>
      <c r="H12" s="1324" t="s">
        <v>211</v>
      </c>
      <c r="I12" s="1325">
        <v>13</v>
      </c>
      <c r="J12" s="1315" t="str">
        <f>B8</f>
        <v>Jaan Sepp, Oskar Sepp</v>
      </c>
      <c r="K12" s="1323">
        <v>13</v>
      </c>
      <c r="L12" s="1324" t="s">
        <v>211</v>
      </c>
      <c r="M12" s="1325">
        <v>11</v>
      </c>
      <c r="N12" s="1315" t="str">
        <f>B13</f>
        <v>Elmo Lageda, Tõnu Piik</v>
      </c>
      <c r="O12" s="1323">
        <v>4</v>
      </c>
      <c r="P12" s="1324" t="s">
        <v>211</v>
      </c>
      <c r="Q12" s="1325">
        <v>13</v>
      </c>
      <c r="R12" s="1315" t="str">
        <f>B11</f>
        <v>Tõnu Kapper, Vladimir Ogneštšikov</v>
      </c>
      <c r="S12" s="1323">
        <v>13</v>
      </c>
      <c r="T12" s="1324" t="s">
        <v>211</v>
      </c>
      <c r="U12" s="1325">
        <v>7</v>
      </c>
      <c r="V12" s="1315" t="str">
        <f>B16</f>
        <v>Janek Tarto, Romek Tarto</v>
      </c>
      <c r="W12" s="1323"/>
      <c r="X12" s="1324" t="s">
        <v>211</v>
      </c>
      <c r="Y12" s="1325"/>
      <c r="Z12" s="1315"/>
      <c r="AA12" s="1335">
        <f t="shared" si="0"/>
        <v>3</v>
      </c>
      <c r="AB12" s="1331"/>
      <c r="AC12" s="1323">
        <f t="shared" si="1"/>
        <v>51</v>
      </c>
      <c r="AD12" s="1324" t="s">
        <v>211</v>
      </c>
      <c r="AE12" s="1326">
        <f t="shared" si="2"/>
        <v>54</v>
      </c>
      <c r="AF12" s="1327">
        <f t="shared" si="3"/>
        <v>-3</v>
      </c>
      <c r="AG12" s="663"/>
      <c r="AH12" s="499">
        <f t="shared" si="9"/>
        <v>57</v>
      </c>
      <c r="AI12" s="605" t="str">
        <f t="shared" si="5"/>
        <v>Andres Veski</v>
      </c>
      <c r="AJ12" s="604">
        <f>IFERROR(INDEX(V!$N:$N,MATCH(AI12,V!$I:$I,0)),"")</f>
        <v>29</v>
      </c>
      <c r="AK12" s="605" t="str">
        <f t="shared" si="6"/>
        <v>Svetlana Veski</v>
      </c>
      <c r="AL12" s="604">
        <f>IFERROR(INDEX(V!$N:$N,MATCH(AK12,V!$I:$I,0)),"")</f>
        <v>28</v>
      </c>
      <c r="AM12" s="603" t="str">
        <f t="shared" si="7"/>
        <v/>
      </c>
      <c r="AN12" s="604" t="str">
        <f>IFERROR(INDEX(V!$N:$N,MATCH(AM12,V!$I:$I,0)),"")</f>
        <v/>
      </c>
      <c r="AO12" s="603" t="str">
        <f t="shared" si="8"/>
        <v/>
      </c>
      <c r="AP12" s="604" t="str">
        <f>IFERROR(INDEX(V!$N:$N,MATCH(AO12,V!$I:$I,0)),"")</f>
        <v/>
      </c>
    </row>
    <row r="13" spans="1:42" ht="12.75" customHeight="1" x14ac:dyDescent="0.2">
      <c r="A13" s="1319">
        <v>6</v>
      </c>
      <c r="B13" s="1352" t="s">
        <v>33</v>
      </c>
      <c r="C13" s="1323">
        <v>13</v>
      </c>
      <c r="D13" s="1324" t="s">
        <v>211</v>
      </c>
      <c r="E13" s="1325">
        <v>7</v>
      </c>
      <c r="F13" s="1315" t="str">
        <f>B20</f>
        <v>Melika Lehtla, Peep Peenema</v>
      </c>
      <c r="G13" s="1323">
        <v>12</v>
      </c>
      <c r="H13" s="1324" t="s">
        <v>211</v>
      </c>
      <c r="I13" s="1325">
        <v>13</v>
      </c>
      <c r="J13" s="1315" t="str">
        <f>B16</f>
        <v>Janek Tarto, Romek Tarto</v>
      </c>
      <c r="K13" s="1323">
        <v>11</v>
      </c>
      <c r="L13" s="1324" t="s">
        <v>211</v>
      </c>
      <c r="M13" s="1325">
        <v>13</v>
      </c>
      <c r="N13" s="1315" t="str">
        <f>B12</f>
        <v>Andres Veski, Svetlana Veski</v>
      </c>
      <c r="O13" s="1323">
        <v>13</v>
      </c>
      <c r="P13" s="1324" t="s">
        <v>211</v>
      </c>
      <c r="Q13" s="1325">
        <v>9</v>
      </c>
      <c r="R13" s="1315" t="str">
        <f>B15</f>
        <v>Oksana Sažina, Oleg Rõndenkov</v>
      </c>
      <c r="S13" s="1323">
        <v>13</v>
      </c>
      <c r="T13" s="1324" t="s">
        <v>211</v>
      </c>
      <c r="U13" s="1325">
        <v>11</v>
      </c>
      <c r="V13" s="1315" t="str">
        <f>B18</f>
        <v>Brigitta Neiland, Einar Juhkam, Johannes Neiland</v>
      </c>
      <c r="W13" s="1323"/>
      <c r="X13" s="1324" t="s">
        <v>211</v>
      </c>
      <c r="Y13" s="1325"/>
      <c r="Z13" s="1315"/>
      <c r="AA13" s="1335">
        <f t="shared" si="0"/>
        <v>3</v>
      </c>
      <c r="AB13" s="1331"/>
      <c r="AC13" s="1323">
        <f t="shared" si="1"/>
        <v>62</v>
      </c>
      <c r="AD13" s="1324" t="s">
        <v>211</v>
      </c>
      <c r="AE13" s="1326">
        <f t="shared" si="2"/>
        <v>53</v>
      </c>
      <c r="AF13" s="1327">
        <f t="shared" si="3"/>
        <v>9</v>
      </c>
      <c r="AG13" s="663"/>
      <c r="AH13" s="499">
        <f t="shared" si="9"/>
        <v>114</v>
      </c>
      <c r="AI13" s="605" t="str">
        <f>IFERROR(LEFT($B14,(FIND(",",$B14,1)-1)),"")</f>
        <v>Henri Mitt</v>
      </c>
      <c r="AJ13" s="604">
        <f>IFERROR(INDEX(V!$N:$N,MATCH(AI13,V!$I:$I,0)),"")</f>
        <v>46.5</v>
      </c>
      <c r="AK13" s="605" t="str">
        <f>IFERROR(MID($B14,FIND(", ",$B14)+2,256),"")</f>
        <v>Urmas Jõeäär</v>
      </c>
      <c r="AL13" s="604">
        <f>IFERROR(INDEX(V!$N:$N,MATCH(AK13,V!$I:$I,0)),"")</f>
        <v>67.5</v>
      </c>
      <c r="AM13" s="603" t="str">
        <f>IFERROR(MID($B14,FIND("^",SUBSTITUTE($B14,", ","^",1))+2,FIND("^",SUBSTITUTE($B14,", ","^",2))-FIND("^",SUBSTITUTE($B14,", ","^",1))-2),"")</f>
        <v/>
      </c>
      <c r="AN13" s="604" t="str">
        <f>IFERROR(INDEX(V!$N:$N,MATCH(AM13,V!$I:$I,0)),"")</f>
        <v/>
      </c>
      <c r="AO13" s="603" t="str">
        <f>IFERROR(MID($B14,FIND(", ",$B14,FIND(", ",$B14,FIND(", ",$B14))+1)+2,700),"")</f>
        <v/>
      </c>
      <c r="AP13" s="604" t="str">
        <f>IFERROR(INDEX(V!$N:$N,MATCH(AO13,V!$I:$I,0)),"")</f>
        <v/>
      </c>
    </row>
    <row r="14" spans="1:42" ht="12.75" customHeight="1" x14ac:dyDescent="0.2">
      <c r="A14" s="1319">
        <v>6</v>
      </c>
      <c r="B14" s="1352" t="s">
        <v>444</v>
      </c>
      <c r="C14" s="1323">
        <v>2</v>
      </c>
      <c r="D14" s="1324" t="s">
        <v>211</v>
      </c>
      <c r="E14" s="1325">
        <v>13</v>
      </c>
      <c r="F14" s="1315" t="str">
        <f>B19</f>
        <v>Enn Tokman, Tarmo Bombe</v>
      </c>
      <c r="G14" s="1323">
        <v>2</v>
      </c>
      <c r="H14" s="1324" t="s">
        <v>211</v>
      </c>
      <c r="I14" s="1325">
        <v>13</v>
      </c>
      <c r="J14" s="1315" t="str">
        <f>B10</f>
        <v>Boriss Klubov, Mait Metsla</v>
      </c>
      <c r="K14" s="1323">
        <v>13</v>
      </c>
      <c r="L14" s="1324" t="s">
        <v>211</v>
      </c>
      <c r="M14" s="1325">
        <v>8</v>
      </c>
      <c r="N14" s="1315" t="str">
        <f>B17</f>
        <v>Karla Purgats, Lemmit Toomra</v>
      </c>
      <c r="O14" s="1323">
        <v>13</v>
      </c>
      <c r="P14" s="1324" t="s">
        <v>211</v>
      </c>
      <c r="Q14" s="1325">
        <v>4</v>
      </c>
      <c r="R14" s="1315" t="str">
        <f>B21</f>
        <v>Aarne Välja, Andrei Grintšak</v>
      </c>
      <c r="S14" s="1323">
        <v>13</v>
      </c>
      <c r="T14" s="1324" t="s">
        <v>211</v>
      </c>
      <c r="U14" s="1325">
        <v>12</v>
      </c>
      <c r="V14" s="1315" t="str">
        <f>B15</f>
        <v>Oksana Sažina, Oleg Rõndenkov</v>
      </c>
      <c r="W14" s="1323"/>
      <c r="X14" s="1324" t="s">
        <v>211</v>
      </c>
      <c r="Y14" s="1325"/>
      <c r="Z14" s="1315"/>
      <c r="AA14" s="1335">
        <f t="shared" si="0"/>
        <v>3</v>
      </c>
      <c r="AB14" s="1331"/>
      <c r="AC14" s="1323">
        <f t="shared" si="1"/>
        <v>43</v>
      </c>
      <c r="AD14" s="1324" t="s">
        <v>211</v>
      </c>
      <c r="AE14" s="1326">
        <f t="shared" si="2"/>
        <v>50</v>
      </c>
      <c r="AF14" s="1327">
        <f t="shared" si="3"/>
        <v>-7</v>
      </c>
      <c r="AG14" s="663"/>
      <c r="AH14" s="499">
        <f t="shared" si="9"/>
        <v>180</v>
      </c>
      <c r="AI14" s="605" t="str">
        <f>IFERROR(LEFT($B13,(FIND(",",$B13,1)-1)),"")</f>
        <v>Elmo Lageda</v>
      </c>
      <c r="AJ14" s="604">
        <f>IFERROR(INDEX(V!$N:$N,MATCH(AI14,V!$I:$I,0)),"")</f>
        <v>91</v>
      </c>
      <c r="AK14" s="605" t="str">
        <f>IFERROR(MID($B13,FIND(", ",$B13)+2,256),"")</f>
        <v>Tõnu Piik</v>
      </c>
      <c r="AL14" s="604">
        <f>IFERROR(INDEX(V!$N:$N,MATCH(AK14,V!$I:$I,0)),"")</f>
        <v>89</v>
      </c>
      <c r="AM14" s="603" t="str">
        <f>IFERROR(MID($B13,FIND("^",SUBSTITUTE($B13,", ","^",1))+2,FIND("^",SUBSTITUTE($B13,", ","^",2))-FIND("^",SUBSTITUTE($B13,", ","^",1))-2),"")</f>
        <v/>
      </c>
      <c r="AN14" s="604" t="str">
        <f>IFERROR(INDEX(V!$N:$N,MATCH(AM14,V!$I:$I,0)),"")</f>
        <v/>
      </c>
      <c r="AO14" s="603" t="str">
        <f>IFERROR(MID($B13,FIND(", ",$B13,FIND(", ",$B13,FIND(", ",$B13))+1)+2,700),"")</f>
        <v/>
      </c>
      <c r="AP14" s="604" t="str">
        <f>IFERROR(INDEX(V!$N:$N,MATCH(AO14,V!$I:$I,0)),"")</f>
        <v/>
      </c>
    </row>
    <row r="15" spans="1:42" ht="12.75" customHeight="1" x14ac:dyDescent="0.2">
      <c r="A15" s="1319">
        <v>8</v>
      </c>
      <c r="B15" s="1352" t="s">
        <v>35</v>
      </c>
      <c r="C15" s="1323">
        <v>10</v>
      </c>
      <c r="D15" s="1324" t="s">
        <v>211</v>
      </c>
      <c r="E15" s="1325">
        <v>13</v>
      </c>
      <c r="F15" s="1315" t="str">
        <f>B12</f>
        <v>Andres Veski, Svetlana Veski</v>
      </c>
      <c r="G15" s="1323">
        <v>13</v>
      </c>
      <c r="H15" s="1324" t="s">
        <v>211</v>
      </c>
      <c r="I15" s="1325">
        <v>11</v>
      </c>
      <c r="J15" s="1315" t="str">
        <f>B18</f>
        <v>Brigitta Neiland, Einar Juhkam, Johannes Neiland</v>
      </c>
      <c r="K15" s="1323">
        <v>13</v>
      </c>
      <c r="L15" s="1324" t="s">
        <v>211</v>
      </c>
      <c r="M15" s="1325">
        <v>9</v>
      </c>
      <c r="N15" s="1315" t="str">
        <f>B21</f>
        <v>Aarne Välja, Andrei Grintšak</v>
      </c>
      <c r="O15" s="1323">
        <v>9</v>
      </c>
      <c r="P15" s="1324" t="s">
        <v>211</v>
      </c>
      <c r="Q15" s="1325">
        <v>13</v>
      </c>
      <c r="R15" s="1315" t="str">
        <f>B13</f>
        <v>Elmo Lageda, Tõnu Piik</v>
      </c>
      <c r="S15" s="1323">
        <v>12</v>
      </c>
      <c r="T15" s="1324" t="s">
        <v>211</v>
      </c>
      <c r="U15" s="1325">
        <v>13</v>
      </c>
      <c r="V15" s="1315" t="str">
        <f>B14</f>
        <v>Henri Mitt, Urmas Jõeäär</v>
      </c>
      <c r="W15" s="1323"/>
      <c r="X15" s="1324" t="s">
        <v>211</v>
      </c>
      <c r="Y15" s="1325"/>
      <c r="Z15" s="1315"/>
      <c r="AA15" s="1330">
        <f t="shared" si="0"/>
        <v>2</v>
      </c>
      <c r="AB15" s="1331"/>
      <c r="AC15" s="1323">
        <f t="shared" si="1"/>
        <v>57</v>
      </c>
      <c r="AD15" s="1324" t="s">
        <v>211</v>
      </c>
      <c r="AE15" s="1326">
        <f t="shared" si="2"/>
        <v>59</v>
      </c>
      <c r="AF15" s="1327">
        <f t="shared" si="3"/>
        <v>-2</v>
      </c>
      <c r="AG15" s="663"/>
      <c r="AH15" s="499">
        <f t="shared" si="9"/>
        <v>137</v>
      </c>
      <c r="AI15" s="605" t="str">
        <f t="shared" si="5"/>
        <v>Oksana Sažina</v>
      </c>
      <c r="AJ15" s="604">
        <f>IFERROR(INDEX(V!$N:$N,MATCH(AI15,V!$I:$I,0)),"")</f>
        <v>72</v>
      </c>
      <c r="AK15" s="605" t="str">
        <f t="shared" si="6"/>
        <v>Oleg Rõndenkov</v>
      </c>
      <c r="AL15" s="604">
        <f>IFERROR(INDEX(V!$N:$N,MATCH(AK15,V!$I:$I,0)),"")</f>
        <v>65</v>
      </c>
      <c r="AM15" s="603" t="str">
        <f t="shared" si="7"/>
        <v/>
      </c>
      <c r="AN15" s="604" t="str">
        <f>IFERROR(INDEX(V!$N:$N,MATCH(AM15,V!$I:$I,0)),"")</f>
        <v/>
      </c>
      <c r="AO15" s="603" t="str">
        <f t="shared" si="8"/>
        <v/>
      </c>
      <c r="AP15" s="604" t="str">
        <f>IFERROR(INDEX(V!$N:$N,MATCH(AO15,V!$I:$I,0)),"")</f>
        <v/>
      </c>
    </row>
    <row r="16" spans="1:42" ht="12.75" customHeight="1" x14ac:dyDescent="0.2">
      <c r="A16" s="1319">
        <v>9</v>
      </c>
      <c r="B16" s="1352" t="s">
        <v>32</v>
      </c>
      <c r="C16" s="1323">
        <v>13</v>
      </c>
      <c r="D16" s="1324" t="s">
        <v>211</v>
      </c>
      <c r="E16" s="1325">
        <v>5</v>
      </c>
      <c r="F16" s="1315" t="str">
        <f>B11</f>
        <v>Tõnu Kapper, Vladimir Ogneštšikov</v>
      </c>
      <c r="G16" s="1323">
        <v>13</v>
      </c>
      <c r="H16" s="1324" t="s">
        <v>211</v>
      </c>
      <c r="I16" s="1325">
        <v>12</v>
      </c>
      <c r="J16" s="1315" t="str">
        <f>B13</f>
        <v>Elmo Lageda, Tõnu Piik</v>
      </c>
      <c r="K16" s="1323">
        <v>2</v>
      </c>
      <c r="L16" s="1324" t="s">
        <v>211</v>
      </c>
      <c r="M16" s="1325">
        <v>13</v>
      </c>
      <c r="N16" s="1315" t="str">
        <f>B9</f>
        <v>Kenneth Muusikus, Meelis Luud, Urmas Randlaine</v>
      </c>
      <c r="O16" s="1323">
        <v>5</v>
      </c>
      <c r="P16" s="1324" t="s">
        <v>211</v>
      </c>
      <c r="Q16" s="1325">
        <v>13</v>
      </c>
      <c r="R16" s="1315" t="str">
        <f>B10</f>
        <v>Boriss Klubov, Mait Metsla</v>
      </c>
      <c r="S16" s="1323">
        <v>7</v>
      </c>
      <c r="T16" s="1324" t="s">
        <v>211</v>
      </c>
      <c r="U16" s="1325">
        <v>13</v>
      </c>
      <c r="V16" s="1315" t="str">
        <f>B12</f>
        <v>Andres Veski, Svetlana Veski</v>
      </c>
      <c r="W16" s="1323"/>
      <c r="X16" s="1324" t="s">
        <v>211</v>
      </c>
      <c r="Y16" s="1325"/>
      <c r="Z16" s="1315"/>
      <c r="AA16" s="1330">
        <f>IF(C17&gt;E17,J$3,IF(C17&lt;E17,J$5,IF(ISNUMBER(C17),J$4,0)))+IF(G17&gt;I17,J$3,IF(G17&lt;I17,J$5,IF(ISNUMBER(G17),J$4,0)))+IF(K17&gt;M17,J$3,IF(K17&lt;M17,J$5,IF(ISNUMBER(K17),J$4,0)))+IF(O17&gt;Q17,J$3,IF(O17&lt;Q17,J$5,IF(ISNUMBER(O17),J$4,0)))+IF(S17&gt;U17,J$3,IF(S17&lt;U17,J$5,IF(ISNUMBER(S17),J$4,0)))+IF(W16&gt;Y16,J$3,IF(W16&lt;Y16,J$5,IF(ISNUMBER(W16),J$4,0)))</f>
        <v>2</v>
      </c>
      <c r="AB16" s="1331"/>
      <c r="AC16" s="1323">
        <f>C16+G16+K16+O16+S16+W17</f>
        <v>40</v>
      </c>
      <c r="AD16" s="1324" t="s">
        <v>211</v>
      </c>
      <c r="AE16" s="1326">
        <f>E16+I16+M16+Q16+U16+Y17</f>
        <v>56</v>
      </c>
      <c r="AF16" s="1327">
        <f>AC17-AE17</f>
        <v>3</v>
      </c>
      <c r="AG16" s="663"/>
      <c r="AH16" s="499">
        <f t="shared" si="9"/>
        <v>48</v>
      </c>
      <c r="AI16" s="605" t="str">
        <f>IFERROR(LEFT($B16,(FIND(",",$B16,1)-1)),"")</f>
        <v>Janek Tarto</v>
      </c>
      <c r="AJ16" s="604">
        <f>IFERROR(INDEX(V!$N:$N,MATCH(AI16,V!$I:$I,0)),"")</f>
        <v>34.5</v>
      </c>
      <c r="AK16" s="605" t="str">
        <f>IFERROR(MID($B16,FIND(", ",$B16)+2,256),"")</f>
        <v>Romek Tarto</v>
      </c>
      <c r="AL16" s="604">
        <f>IFERROR(INDEX(V!$N:$N,MATCH(AK16,V!$I:$I,0)),"")</f>
        <v>13.5</v>
      </c>
      <c r="AM16" s="603" t="str">
        <f>IFERROR(MID($B16,FIND("^",SUBSTITUTE($B16,", ","^",1))+2,FIND("^",SUBSTITUTE($B16,", ","^",2))-FIND("^",SUBSTITUTE($B16,", ","^",1))-2),"")</f>
        <v/>
      </c>
      <c r="AN16" s="604" t="str">
        <f>IFERROR(INDEX(V!$N:$N,MATCH(AM16,V!$I:$I,0)),"")</f>
        <v/>
      </c>
      <c r="AO16" s="603" t="str">
        <f>IFERROR(MID($B16,FIND(", ",$B16,FIND(", ",$B16,FIND(", ",$B16))+1)+2,700),"")</f>
        <v/>
      </c>
      <c r="AP16" s="604" t="str">
        <f>IFERROR(INDEX(V!$N:$N,MATCH(AO16,V!$I:$I,0)),"")</f>
        <v/>
      </c>
    </row>
    <row r="17" spans="1:42" ht="12.75" customHeight="1" x14ac:dyDescent="0.2">
      <c r="A17" s="1319">
        <v>9</v>
      </c>
      <c r="B17" s="1351" t="s">
        <v>441</v>
      </c>
      <c r="C17" s="1323">
        <v>4</v>
      </c>
      <c r="D17" s="1324" t="s">
        <v>211</v>
      </c>
      <c r="E17" s="1325">
        <v>13</v>
      </c>
      <c r="F17" s="1315" t="str">
        <f>B9</f>
        <v>Kenneth Muusikus, Meelis Luud, Urmas Randlaine</v>
      </c>
      <c r="G17" s="1323">
        <v>12</v>
      </c>
      <c r="H17" s="1324" t="s">
        <v>211</v>
      </c>
      <c r="I17" s="1325">
        <v>13</v>
      </c>
      <c r="J17" s="1315" t="str">
        <f>B11</f>
        <v>Tõnu Kapper, Vladimir Ogneštšikov</v>
      </c>
      <c r="K17" s="1323">
        <v>8</v>
      </c>
      <c r="L17" s="1324" t="s">
        <v>211</v>
      </c>
      <c r="M17" s="1325">
        <v>13</v>
      </c>
      <c r="N17" s="1315" t="str">
        <f>B14</f>
        <v>Henri Mitt, Urmas Jõeäär</v>
      </c>
      <c r="O17" s="1323">
        <v>13</v>
      </c>
      <c r="P17" s="1324" t="s">
        <v>211</v>
      </c>
      <c r="Q17" s="1325">
        <v>4</v>
      </c>
      <c r="R17" s="1315" t="str">
        <f>B20</f>
        <v>Melika Lehtla, Peep Peenema</v>
      </c>
      <c r="S17" s="1323">
        <v>13</v>
      </c>
      <c r="T17" s="1324" t="s">
        <v>211</v>
      </c>
      <c r="U17" s="1325">
        <v>4</v>
      </c>
      <c r="V17" s="1315" t="str">
        <f>B19</f>
        <v>Enn Tokman, Tarmo Bombe</v>
      </c>
      <c r="W17" s="1323"/>
      <c r="X17" s="1324" t="s">
        <v>211</v>
      </c>
      <c r="Y17" s="1325"/>
      <c r="Z17" s="1315"/>
      <c r="AA17" s="1330">
        <f>IF(C16&gt;E16,J$3,IF(C16&lt;E16,J$5,IF(ISNUMBER(C16),J$4,0)))+IF(G16&gt;I16,J$3,IF(G16&lt;I16,J$5,IF(ISNUMBER(G16),J$4,0)))+IF(K16&gt;M16,J$3,IF(K16&lt;M16,J$5,IF(ISNUMBER(K16),J$4,0)))+IF(O16&gt;Q16,J$3,IF(O16&lt;Q16,J$5,IF(ISNUMBER(O16),J$4,0)))+IF(S16&gt;U16,J$3,IF(S16&lt;U16,J$5,IF(ISNUMBER(S16),J$4,0)))+IF(W17&gt;Y17,J$3,IF(W17&lt;Y17,J$5,IF(ISNUMBER(W17),J$4,0)))</f>
        <v>2</v>
      </c>
      <c r="AB17" s="1331"/>
      <c r="AC17" s="1323">
        <f>C17+G17+K17+O17+S17+W16</f>
        <v>50</v>
      </c>
      <c r="AD17" s="1324" t="s">
        <v>211</v>
      </c>
      <c r="AE17" s="1326">
        <f>E17+I17+M17+Q17+U17+Y16</f>
        <v>47</v>
      </c>
      <c r="AF17" s="1327">
        <f>AC16-AE16</f>
        <v>-16</v>
      </c>
      <c r="AG17" s="663"/>
      <c r="AH17" s="499">
        <f>SUM(AJ17:AP17)</f>
        <v>92</v>
      </c>
      <c r="AI17" s="605" t="str">
        <f>IFERROR(LEFT($B17,(FIND(",",$B17,1)-1)),"")</f>
        <v>Karla Purgats</v>
      </c>
      <c r="AJ17" s="604">
        <f>IFERROR(INDEX(V!$N:$N,MATCH(AI17,V!$I:$I,0)),"")</f>
        <v>46.5</v>
      </c>
      <c r="AK17" s="605" t="str">
        <f>IFERROR(MID($B17,FIND(", ",$B17)+2,256),"")</f>
        <v>Lemmit Toomra</v>
      </c>
      <c r="AL17" s="604">
        <f>IFERROR(INDEX(V!$N:$N,MATCH(AK17,V!$I:$I,0)),"")</f>
        <v>45.5</v>
      </c>
      <c r="AM17" s="603" t="str">
        <f>IFERROR(MID($B17,FIND("^",SUBSTITUTE($B17,", ","^",1))+2,FIND("^",SUBSTITUTE($B17,", ","^",2))-FIND("^",SUBSTITUTE($B17,", ","^",1))-2),"")</f>
        <v/>
      </c>
      <c r="AN17" s="604" t="str">
        <f>IFERROR(INDEX(V!$N:$N,MATCH(AM17,V!$I:$I,0)),"")</f>
        <v/>
      </c>
      <c r="AO17" s="603" t="str">
        <f>IFERROR(MID($B17,FIND(", ",$B17,FIND(", ",$B17,FIND(", ",$B17))+1)+2,700),"")</f>
        <v/>
      </c>
      <c r="AP17" s="604" t="str">
        <f>IFERROR(INDEX(V!$N:$N,MATCH(AO17,V!$I:$I,0)),"")</f>
        <v/>
      </c>
    </row>
    <row r="18" spans="1:42" ht="12.75" customHeight="1" x14ac:dyDescent="0.2">
      <c r="A18" s="1319">
        <v>11</v>
      </c>
      <c r="B18" s="1353" t="s">
        <v>490</v>
      </c>
      <c r="C18" s="1323">
        <v>11</v>
      </c>
      <c r="D18" s="1324" t="s">
        <v>211</v>
      </c>
      <c r="E18" s="1325">
        <v>13</v>
      </c>
      <c r="F18" s="1315" t="str">
        <f>B10</f>
        <v>Boriss Klubov, Mait Metsla</v>
      </c>
      <c r="G18" s="1323">
        <v>11</v>
      </c>
      <c r="H18" s="1324" t="s">
        <v>211</v>
      </c>
      <c r="I18" s="1325">
        <v>13</v>
      </c>
      <c r="J18" s="1315" t="str">
        <f>B15</f>
        <v>Oksana Sažina, Oleg Rõndenkov</v>
      </c>
      <c r="K18" s="1323">
        <v>13</v>
      </c>
      <c r="L18" s="1324" t="s">
        <v>211</v>
      </c>
      <c r="M18" s="1325">
        <v>1</v>
      </c>
      <c r="N18" s="1315" t="str">
        <f>B20</f>
        <v>Melika Lehtla, Peep Peenema</v>
      </c>
      <c r="O18" s="1323">
        <v>13</v>
      </c>
      <c r="P18" s="1324" t="s">
        <v>211</v>
      </c>
      <c r="Q18" s="1325">
        <v>1</v>
      </c>
      <c r="R18" s="1315" t="str">
        <f>B19</f>
        <v>Enn Tokman, Tarmo Bombe</v>
      </c>
      <c r="S18" s="1323">
        <v>11</v>
      </c>
      <c r="T18" s="1324" t="s">
        <v>211</v>
      </c>
      <c r="U18" s="1325">
        <v>13</v>
      </c>
      <c r="V18" s="1315" t="str">
        <f>B13</f>
        <v>Elmo Lageda, Tõnu Piik</v>
      </c>
      <c r="W18" s="1323"/>
      <c r="X18" s="1324" t="s">
        <v>211</v>
      </c>
      <c r="Y18" s="1325"/>
      <c r="Z18" s="1315"/>
      <c r="AA18" s="1330">
        <f t="shared" si="0"/>
        <v>2</v>
      </c>
      <c r="AB18" s="1331"/>
      <c r="AC18" s="1323">
        <f t="shared" si="1"/>
        <v>59</v>
      </c>
      <c r="AD18" s="1324" t="s">
        <v>211</v>
      </c>
      <c r="AE18" s="1326">
        <f t="shared" si="2"/>
        <v>41</v>
      </c>
      <c r="AF18" s="1327">
        <f t="shared" si="3"/>
        <v>18</v>
      </c>
      <c r="AG18" s="663"/>
      <c r="AH18" s="499">
        <f t="shared" si="9"/>
        <v>115.5</v>
      </c>
      <c r="AI18" s="605" t="str">
        <f t="shared" si="5"/>
        <v>Brigitta Neiland</v>
      </c>
      <c r="AJ18" s="604">
        <f>IFERROR(INDEX(V!$N:$N,MATCH(AI18,V!$I:$I,0)),"")</f>
        <v>22.5</v>
      </c>
      <c r="AK18" s="605" t="str">
        <f t="shared" si="6"/>
        <v>Einar Juhkam, Johannes Neiland</v>
      </c>
      <c r="AL18" s="604" t="str">
        <f>IFERROR(INDEX(V!$N:$N,MATCH(AK18,V!$I:$I,0)),"")</f>
        <v/>
      </c>
      <c r="AM18" s="603" t="str">
        <f t="shared" si="7"/>
        <v>Einar Juhkam</v>
      </c>
      <c r="AN18" s="604">
        <f>IFERROR(INDEX(V!$N:$N,MATCH(AM18,V!$I:$I,0)),"")</f>
        <v>34</v>
      </c>
      <c r="AO18" s="603" t="str">
        <f t="shared" si="8"/>
        <v>Johannes Neiland</v>
      </c>
      <c r="AP18" s="604">
        <f>IFERROR(INDEX(V!$N:$N,MATCH(AO18,V!$I:$I,0)),"")</f>
        <v>59</v>
      </c>
    </row>
    <row r="19" spans="1:42" ht="12.75" customHeight="1" x14ac:dyDescent="0.2">
      <c r="A19" s="1319">
        <v>12</v>
      </c>
      <c r="B19" s="1353" t="s">
        <v>39</v>
      </c>
      <c r="C19" s="1323">
        <v>13</v>
      </c>
      <c r="D19" s="1324" t="s">
        <v>211</v>
      </c>
      <c r="E19" s="1325">
        <v>2</v>
      </c>
      <c r="F19" s="1315" t="str">
        <f>B14</f>
        <v>Henri Mitt, Urmas Jõeäär</v>
      </c>
      <c r="G19" s="1323">
        <v>4</v>
      </c>
      <c r="H19" s="1324" t="s">
        <v>211</v>
      </c>
      <c r="I19" s="1325">
        <v>13</v>
      </c>
      <c r="J19" s="1315" t="str">
        <f>B9</f>
        <v>Kenneth Muusikus, Meelis Luud, Urmas Randlaine</v>
      </c>
      <c r="K19" s="1323">
        <v>10</v>
      </c>
      <c r="L19" s="1324" t="s">
        <v>211</v>
      </c>
      <c r="M19" s="1325">
        <v>13</v>
      </c>
      <c r="N19" s="1315" t="str">
        <f>B11</f>
        <v>Tõnu Kapper, Vladimir Ogneštšikov</v>
      </c>
      <c r="O19" s="1323">
        <v>1</v>
      </c>
      <c r="P19" s="1324" t="s">
        <v>211</v>
      </c>
      <c r="Q19" s="1325">
        <v>13</v>
      </c>
      <c r="R19" s="1315" t="str">
        <f>B18</f>
        <v>Brigitta Neiland, Einar Juhkam, Johannes Neiland</v>
      </c>
      <c r="S19" s="1323">
        <v>4</v>
      </c>
      <c r="T19" s="1324" t="s">
        <v>211</v>
      </c>
      <c r="U19" s="1325">
        <v>13</v>
      </c>
      <c r="V19" s="1315" t="str">
        <f>B17</f>
        <v>Karla Purgats, Lemmit Toomra</v>
      </c>
      <c r="W19" s="1323"/>
      <c r="X19" s="1324" t="s">
        <v>211</v>
      </c>
      <c r="Y19" s="1325"/>
      <c r="Z19" s="1315"/>
      <c r="AA19" s="1335">
        <f t="shared" si="0"/>
        <v>1</v>
      </c>
      <c r="AB19" s="1331"/>
      <c r="AC19" s="1323">
        <f t="shared" si="1"/>
        <v>32</v>
      </c>
      <c r="AD19" s="1324" t="s">
        <v>211</v>
      </c>
      <c r="AE19" s="1326">
        <f t="shared" si="2"/>
        <v>54</v>
      </c>
      <c r="AF19" s="1327">
        <f t="shared" si="3"/>
        <v>-22</v>
      </c>
      <c r="AG19" s="663"/>
      <c r="AH19" s="499">
        <f t="shared" ref="AH19:AH21" si="10">SUM(AJ19:AP19)</f>
        <v>65.5</v>
      </c>
      <c r="AI19" s="605" t="str">
        <f t="shared" si="5"/>
        <v>Enn Tokman</v>
      </c>
      <c r="AJ19" s="604">
        <f>IFERROR(INDEX(V!$N:$N,MATCH(AI19,V!$I:$I,0)),"")</f>
        <v>39.5</v>
      </c>
      <c r="AK19" s="605" t="str">
        <f t="shared" si="6"/>
        <v>Tarmo Bombe</v>
      </c>
      <c r="AL19" s="604">
        <f>IFERROR(INDEX(V!$N:$N,MATCH(AK19,V!$I:$I,0)),"")</f>
        <v>26</v>
      </c>
      <c r="AM19" s="603" t="str">
        <f t="shared" si="7"/>
        <v/>
      </c>
      <c r="AN19" s="604" t="str">
        <f>IFERROR(INDEX(V!$N:$N,MATCH(AM19,V!$I:$I,0)),"")</f>
        <v/>
      </c>
      <c r="AO19" s="603" t="str">
        <f t="shared" si="8"/>
        <v/>
      </c>
      <c r="AP19" s="604" t="str">
        <f>IFERROR(INDEX(V!$N:$N,MATCH(AO19,V!$I:$I,0)),"")</f>
        <v/>
      </c>
    </row>
    <row r="20" spans="1:42" ht="12.75" customHeight="1" x14ac:dyDescent="0.2">
      <c r="A20" s="1319">
        <v>13</v>
      </c>
      <c r="B20" s="1353" t="s">
        <v>760</v>
      </c>
      <c r="C20" s="1323">
        <v>7</v>
      </c>
      <c r="D20" s="1324" t="s">
        <v>211</v>
      </c>
      <c r="E20" s="1325">
        <v>13</v>
      </c>
      <c r="F20" s="1315" t="str">
        <f>B13</f>
        <v>Elmo Lageda, Tõnu Piik</v>
      </c>
      <c r="G20" s="1323">
        <v>11</v>
      </c>
      <c r="H20" s="1324" t="s">
        <v>211</v>
      </c>
      <c r="I20" s="1325">
        <v>13</v>
      </c>
      <c r="J20" s="1315" t="str">
        <f>B21</f>
        <v>Aarne Välja, Andrei Grintšak</v>
      </c>
      <c r="K20" s="1323">
        <v>1</v>
      </c>
      <c r="L20" s="1324" t="s">
        <v>211</v>
      </c>
      <c r="M20" s="1325">
        <v>13</v>
      </c>
      <c r="N20" s="1315" t="str">
        <f>B18</f>
        <v>Brigitta Neiland, Einar Juhkam, Johannes Neiland</v>
      </c>
      <c r="O20" s="1323">
        <v>4</v>
      </c>
      <c r="P20" s="1324" t="s">
        <v>211</v>
      </c>
      <c r="Q20" s="1325">
        <v>13</v>
      </c>
      <c r="R20" s="1315" t="str">
        <f>B17</f>
        <v>Karla Purgats, Lemmit Toomra</v>
      </c>
      <c r="S20" s="1323">
        <v>13</v>
      </c>
      <c r="T20" s="1324" t="s">
        <v>211</v>
      </c>
      <c r="U20" s="1325">
        <v>0</v>
      </c>
      <c r="V20" s="1315" t="str">
        <f>B21</f>
        <v>Aarne Välja, Andrei Grintšak</v>
      </c>
      <c r="W20" s="1323"/>
      <c r="X20" s="1324" t="s">
        <v>211</v>
      </c>
      <c r="Y20" s="1325"/>
      <c r="Z20" s="1315"/>
      <c r="AA20" s="1335">
        <f t="shared" si="0"/>
        <v>1</v>
      </c>
      <c r="AB20" s="1331"/>
      <c r="AC20" s="1323">
        <f t="shared" si="1"/>
        <v>36</v>
      </c>
      <c r="AD20" s="1324" t="s">
        <v>211</v>
      </c>
      <c r="AE20" s="1326">
        <f t="shared" si="2"/>
        <v>52</v>
      </c>
      <c r="AF20" s="1327">
        <f t="shared" si="3"/>
        <v>-16</v>
      </c>
      <c r="AG20" s="663"/>
      <c r="AH20" s="499">
        <f t="shared" si="10"/>
        <v>44.5</v>
      </c>
      <c r="AI20" s="605" t="str">
        <f t="shared" si="5"/>
        <v>Melika Lehtla</v>
      </c>
      <c r="AJ20" s="604">
        <f>IFERROR(INDEX(V!$N:$N,MATCH(AI20,V!$I:$I,0)),"")</f>
        <v>20</v>
      </c>
      <c r="AK20" s="605" t="str">
        <f t="shared" si="6"/>
        <v>Peep Peenema</v>
      </c>
      <c r="AL20" s="604">
        <f>IFERROR(INDEX(V!$N:$N,MATCH(AK20,V!$I:$I,0)),"")</f>
        <v>24.5</v>
      </c>
      <c r="AM20" s="603" t="str">
        <f t="shared" si="7"/>
        <v/>
      </c>
      <c r="AN20" s="604" t="str">
        <f>IFERROR(INDEX(V!$N:$N,MATCH(AM20,V!$I:$I,0)),"")</f>
        <v/>
      </c>
      <c r="AO20" s="603" t="str">
        <f t="shared" si="8"/>
        <v/>
      </c>
      <c r="AP20" s="604" t="str">
        <f>IFERROR(INDEX(V!$N:$N,MATCH(AO20,V!$I:$I,0)),"")</f>
        <v/>
      </c>
    </row>
    <row r="21" spans="1:42" ht="12.75" customHeight="1" x14ac:dyDescent="0.2">
      <c r="A21" s="1319">
        <v>14</v>
      </c>
      <c r="B21" s="1353" t="s">
        <v>572</v>
      </c>
      <c r="C21" s="1323">
        <v>12</v>
      </c>
      <c r="D21" s="1324" t="s">
        <v>211</v>
      </c>
      <c r="E21" s="1325">
        <v>13</v>
      </c>
      <c r="F21" s="1315" t="str">
        <f>B8</f>
        <v>Jaan Sepp, Oskar Sepp</v>
      </c>
      <c r="G21" s="1323">
        <v>13</v>
      </c>
      <c r="H21" s="1324" t="s">
        <v>211</v>
      </c>
      <c r="I21" s="1325">
        <v>11</v>
      </c>
      <c r="J21" s="1315" t="str">
        <f>B20</f>
        <v>Melika Lehtla, Peep Peenema</v>
      </c>
      <c r="K21" s="1323">
        <v>9</v>
      </c>
      <c r="L21" s="1324" t="s">
        <v>211</v>
      </c>
      <c r="M21" s="1325">
        <v>13</v>
      </c>
      <c r="N21" s="1315" t="str">
        <f>B15</f>
        <v>Oksana Sažina, Oleg Rõndenkov</v>
      </c>
      <c r="O21" s="1323">
        <v>4</v>
      </c>
      <c r="P21" s="1324" t="s">
        <v>211</v>
      </c>
      <c r="Q21" s="1325">
        <v>13</v>
      </c>
      <c r="R21" s="1315" t="str">
        <f>B14</f>
        <v>Henri Mitt, Urmas Jõeäär</v>
      </c>
      <c r="S21" s="1323">
        <v>0</v>
      </c>
      <c r="T21" s="1324" t="s">
        <v>211</v>
      </c>
      <c r="U21" s="1325">
        <v>13</v>
      </c>
      <c r="V21" s="1315" t="str">
        <f>B20</f>
        <v>Melika Lehtla, Peep Peenema</v>
      </c>
      <c r="W21" s="1323"/>
      <c r="X21" s="1324" t="s">
        <v>211</v>
      </c>
      <c r="Y21" s="1325"/>
      <c r="Z21" s="1315"/>
      <c r="AA21" s="1335">
        <f t="shared" si="0"/>
        <v>1</v>
      </c>
      <c r="AB21" s="1331"/>
      <c r="AC21" s="1323">
        <f t="shared" si="1"/>
        <v>38</v>
      </c>
      <c r="AD21" s="1324" t="s">
        <v>211</v>
      </c>
      <c r="AE21" s="1326">
        <f t="shared" si="2"/>
        <v>63</v>
      </c>
      <c r="AF21" s="1327">
        <f t="shared" si="3"/>
        <v>-25</v>
      </c>
      <c r="AG21" s="663"/>
      <c r="AH21" s="499">
        <f t="shared" si="10"/>
        <v>55.5</v>
      </c>
      <c r="AI21" s="605" t="str">
        <f t="shared" si="5"/>
        <v>Aarne Välja</v>
      </c>
      <c r="AJ21" s="604">
        <f>IFERROR(INDEX(V!$N:$N,MATCH(AI21,V!$I:$I,0)),"")</f>
        <v>22</v>
      </c>
      <c r="AK21" s="605" t="str">
        <f t="shared" si="6"/>
        <v>Andrei Grintšak</v>
      </c>
      <c r="AL21" s="604">
        <f>IFERROR(INDEX(V!$N:$N,MATCH(AK21,V!$I:$I,0)),"")</f>
        <v>33.5</v>
      </c>
      <c r="AM21" s="603" t="str">
        <f t="shared" si="7"/>
        <v/>
      </c>
      <c r="AN21" s="604" t="str">
        <f>IFERROR(INDEX(V!$N:$N,MATCH(AM21,V!$I:$I,0)),"")</f>
        <v/>
      </c>
      <c r="AO21" s="603" t="str">
        <f t="shared" si="8"/>
        <v/>
      </c>
      <c r="AP21" s="604" t="str">
        <f>IFERROR(INDEX(V!$N:$N,MATCH(AO21,V!$I:$I,0)),"")</f>
        <v/>
      </c>
    </row>
    <row r="22" spans="1:42" ht="12.75" hidden="1" customHeight="1" x14ac:dyDescent="0.2">
      <c r="L22" s="32"/>
      <c r="M22" s="32"/>
      <c r="N22" s="32"/>
      <c r="R22" s="34"/>
      <c r="S22" s="34"/>
      <c r="T22" s="34"/>
      <c r="U22" s="34"/>
      <c r="V22" s="34"/>
      <c r="W22" s="32"/>
    </row>
    <row r="23" spans="1:42" ht="12.75" hidden="1" customHeight="1" x14ac:dyDescent="0.2">
      <c r="L23" s="32"/>
      <c r="M23" s="32"/>
      <c r="N23" s="32"/>
      <c r="T23" s="32"/>
      <c r="U23" s="32"/>
      <c r="V23" s="32"/>
      <c r="W23" s="32"/>
    </row>
    <row r="24" spans="1:42" ht="12.75" hidden="1" customHeight="1" x14ac:dyDescent="0.2">
      <c r="L24" s="32"/>
      <c r="M24" s="32"/>
      <c r="N24" s="32"/>
      <c r="T24" s="32"/>
      <c r="U24" s="32"/>
      <c r="V24" s="32"/>
      <c r="W24" s="32"/>
    </row>
    <row r="25" spans="1:42" ht="12.75" hidden="1" customHeight="1" x14ac:dyDescent="0.2">
      <c r="L25" s="32"/>
      <c r="M25" s="32"/>
      <c r="N25" s="32"/>
      <c r="T25" s="32"/>
      <c r="U25" s="32"/>
      <c r="V25" s="32"/>
      <c r="W25" s="32"/>
    </row>
    <row r="26" spans="1:42" ht="12.75" hidden="1" customHeight="1" x14ac:dyDescent="0.2">
      <c r="L26" s="32"/>
      <c r="M26" s="32"/>
      <c r="N26" s="32"/>
      <c r="T26" s="32"/>
      <c r="U26" s="32"/>
      <c r="V26" s="32"/>
      <c r="W26" s="32"/>
    </row>
    <row r="27" spans="1:42" ht="12.75" hidden="1" customHeight="1" x14ac:dyDescent="0.2">
      <c r="L27" s="32"/>
      <c r="M27" s="32"/>
      <c r="N27" s="32"/>
      <c r="T27" s="32"/>
      <c r="U27" s="32"/>
      <c r="V27" s="32"/>
      <c r="W27" s="32"/>
    </row>
    <row r="28" spans="1:42" ht="12.75" hidden="1" customHeight="1" x14ac:dyDescent="0.2">
      <c r="L28" s="32"/>
      <c r="M28" s="32"/>
      <c r="N28" s="32"/>
      <c r="T28" s="32"/>
      <c r="U28" s="32"/>
      <c r="V28" s="32"/>
      <c r="W28" s="223"/>
    </row>
    <row r="29" spans="1:42" ht="12.75" hidden="1" customHeight="1" x14ac:dyDescent="0.2">
      <c r="L29" s="32"/>
      <c r="M29" s="32"/>
      <c r="N29" s="32"/>
      <c r="T29" s="32"/>
      <c r="U29" s="32"/>
      <c r="V29" s="32"/>
      <c r="W29" s="223"/>
    </row>
    <row r="30" spans="1:42" ht="12.75" hidden="1" customHeight="1" x14ac:dyDescent="0.2">
      <c r="L30" s="32"/>
      <c r="M30" s="32"/>
      <c r="N30" s="32"/>
      <c r="T30" s="32"/>
      <c r="U30" s="32"/>
      <c r="V30" s="32"/>
      <c r="W30" s="223"/>
    </row>
    <row r="31" spans="1:42" ht="12.75" hidden="1" customHeight="1" x14ac:dyDescent="0.2">
      <c r="L31" s="32"/>
      <c r="M31" s="32"/>
      <c r="N31" s="32"/>
      <c r="T31" s="32"/>
      <c r="U31" s="32"/>
      <c r="V31" s="32"/>
      <c r="W31" s="223"/>
    </row>
    <row r="32" spans="1:42" ht="12.75" hidden="1" customHeight="1" x14ac:dyDescent="0.2">
      <c r="L32" s="32"/>
      <c r="M32" s="32"/>
      <c r="N32" s="32"/>
      <c r="T32" s="32"/>
      <c r="U32" s="32"/>
      <c r="V32" s="32"/>
      <c r="W32" s="223"/>
    </row>
    <row r="33" spans="12:23" ht="12.75" hidden="1" customHeight="1" x14ac:dyDescent="0.2">
      <c r="L33" s="32"/>
      <c r="M33" s="32"/>
      <c r="N33" s="32"/>
      <c r="T33" s="32"/>
      <c r="U33" s="32"/>
      <c r="V33" s="32"/>
      <c r="W33" s="223"/>
    </row>
    <row r="34" spans="12:23" ht="12.75" hidden="1" customHeight="1" x14ac:dyDescent="0.2">
      <c r="L34" s="32"/>
      <c r="M34" s="32"/>
      <c r="N34" s="32"/>
      <c r="T34" s="32"/>
      <c r="U34" s="32"/>
      <c r="V34" s="32"/>
      <c r="W34" s="223"/>
    </row>
    <row r="35" spans="12:23" ht="12.75" hidden="1" customHeight="1" x14ac:dyDescent="0.2">
      <c r="L35" s="32"/>
      <c r="M35" s="32"/>
      <c r="N35" s="32"/>
      <c r="T35" s="32"/>
      <c r="U35" s="32"/>
      <c r="V35" s="32"/>
      <c r="W35" s="223"/>
    </row>
    <row r="36" spans="12:23" ht="12.75" hidden="1" customHeight="1" x14ac:dyDescent="0.2">
      <c r="L36" s="32"/>
      <c r="M36" s="32"/>
      <c r="N36" s="32"/>
      <c r="T36" s="32"/>
      <c r="U36" s="32"/>
      <c r="V36" s="32"/>
      <c r="W36" s="223"/>
    </row>
    <row r="37" spans="12:23" ht="12.75" hidden="1" customHeight="1" x14ac:dyDescent="0.2">
      <c r="L37" s="32"/>
      <c r="M37" s="32"/>
      <c r="N37" s="32"/>
      <c r="T37" s="32"/>
      <c r="U37" s="32"/>
      <c r="V37" s="32"/>
      <c r="W37" s="223"/>
    </row>
    <row r="38" spans="12:23" ht="12.75" hidden="1" customHeight="1" x14ac:dyDescent="0.2">
      <c r="L38" s="32"/>
      <c r="M38" s="32"/>
      <c r="N38" s="32"/>
      <c r="T38" s="32"/>
      <c r="U38" s="32"/>
      <c r="V38" s="32"/>
      <c r="W38" s="223"/>
    </row>
    <row r="39" spans="12:23" ht="12.75" hidden="1" customHeight="1" x14ac:dyDescent="0.2">
      <c r="L39" s="32"/>
      <c r="M39" s="32"/>
      <c r="N39" s="32"/>
      <c r="T39" s="32"/>
      <c r="U39" s="32"/>
      <c r="V39" s="32"/>
      <c r="W39" s="223"/>
    </row>
    <row r="40" spans="12:23" ht="12.75" hidden="1" customHeight="1" x14ac:dyDescent="0.2">
      <c r="L40" s="32"/>
      <c r="M40" s="32"/>
      <c r="N40" s="32"/>
      <c r="T40" s="32"/>
      <c r="U40" s="32"/>
      <c r="V40" s="32"/>
      <c r="W40" s="223"/>
    </row>
    <row r="41" spans="12:23" ht="12.75" hidden="1" customHeight="1" x14ac:dyDescent="0.2">
      <c r="L41" s="32"/>
      <c r="M41" s="32"/>
      <c r="N41" s="32"/>
      <c r="T41" s="32"/>
      <c r="U41" s="32"/>
      <c r="V41" s="32"/>
      <c r="W41" s="223"/>
    </row>
    <row r="42" spans="12:23" ht="12.75" hidden="1" customHeight="1" x14ac:dyDescent="0.2">
      <c r="L42" s="32"/>
      <c r="M42" s="32"/>
      <c r="N42" s="32"/>
      <c r="T42" s="32"/>
      <c r="U42" s="32"/>
      <c r="V42" s="32"/>
      <c r="W42" s="223"/>
    </row>
    <row r="43" spans="12:23" ht="12.75" hidden="1" customHeight="1" x14ac:dyDescent="0.2">
      <c r="L43" s="32"/>
      <c r="M43" s="32"/>
      <c r="N43" s="32"/>
      <c r="T43" s="32"/>
      <c r="U43" s="32"/>
      <c r="V43" s="32"/>
      <c r="W43" s="223"/>
    </row>
    <row r="44" spans="12:23" ht="12.75" hidden="1" customHeight="1" x14ac:dyDescent="0.2">
      <c r="L44" s="32"/>
      <c r="M44" s="32"/>
      <c r="N44" s="32"/>
      <c r="T44" s="32"/>
      <c r="U44" s="32"/>
      <c r="V44" s="32"/>
      <c r="W44" s="223"/>
    </row>
    <row r="45" spans="12:23" ht="12.75" hidden="1" customHeight="1" x14ac:dyDescent="0.2">
      <c r="L45" s="32"/>
      <c r="M45" s="32"/>
      <c r="N45" s="32"/>
      <c r="T45" s="32"/>
      <c r="U45" s="32"/>
      <c r="V45" s="32"/>
      <c r="W45" s="223"/>
    </row>
    <row r="46" spans="12:23" ht="12.75" hidden="1" customHeight="1" x14ac:dyDescent="0.2">
      <c r="L46" s="32"/>
      <c r="M46" s="32"/>
      <c r="N46" s="32"/>
      <c r="T46" s="32"/>
      <c r="U46" s="32"/>
      <c r="V46" s="32"/>
      <c r="W46" s="223"/>
    </row>
    <row r="47" spans="12:23" ht="12.75" hidden="1" customHeight="1" x14ac:dyDescent="0.2">
      <c r="L47" s="32"/>
      <c r="M47" s="32"/>
      <c r="N47" s="32"/>
      <c r="T47" s="32"/>
      <c r="U47" s="32"/>
      <c r="V47" s="32"/>
      <c r="W47" s="223"/>
    </row>
    <row r="48" spans="12:23" ht="12.75" hidden="1" customHeight="1" x14ac:dyDescent="0.2">
      <c r="L48" s="32"/>
      <c r="M48" s="32"/>
      <c r="N48" s="32"/>
      <c r="T48" s="32"/>
      <c r="U48" s="32"/>
      <c r="V48" s="32"/>
      <c r="W48" s="223"/>
    </row>
    <row r="49" spans="12:23" ht="12.75" hidden="1" customHeight="1" x14ac:dyDescent="0.2">
      <c r="L49" s="32"/>
      <c r="M49" s="32"/>
      <c r="N49" s="32"/>
      <c r="T49" s="32"/>
      <c r="U49" s="32"/>
      <c r="V49" s="32"/>
      <c r="W49" s="223"/>
    </row>
    <row r="50" spans="12:23" ht="12.75" hidden="1" customHeight="1" x14ac:dyDescent="0.2">
      <c r="L50" s="32"/>
      <c r="M50" s="32"/>
      <c r="N50" s="32"/>
      <c r="T50" s="32"/>
      <c r="U50" s="32"/>
      <c r="V50" s="32"/>
      <c r="W50" s="223"/>
    </row>
    <row r="51" spans="12:23" ht="12.75" hidden="1" customHeight="1" x14ac:dyDescent="0.2">
      <c r="L51" s="32"/>
      <c r="M51" s="32"/>
      <c r="N51" s="32"/>
      <c r="T51" s="32"/>
      <c r="U51" s="32"/>
      <c r="V51" s="32"/>
      <c r="W51" s="223"/>
    </row>
    <row r="52" spans="12:23" ht="12.75" hidden="1" customHeight="1" x14ac:dyDescent="0.2">
      <c r="L52" s="32"/>
      <c r="M52" s="32"/>
      <c r="N52" s="32"/>
      <c r="T52" s="32"/>
      <c r="U52" s="32"/>
      <c r="V52" s="32"/>
      <c r="W52" s="223"/>
    </row>
    <row r="53" spans="12:23" ht="12.75" hidden="1" customHeight="1" x14ac:dyDescent="0.2">
      <c r="L53" s="32"/>
      <c r="M53" s="32"/>
      <c r="N53" s="32"/>
      <c r="T53" s="32"/>
      <c r="U53" s="32"/>
      <c r="V53" s="32"/>
      <c r="W53" s="223"/>
    </row>
    <row r="54" spans="12:23" ht="12.75" hidden="1" customHeight="1" x14ac:dyDescent="0.2">
      <c r="L54" s="32"/>
      <c r="M54" s="32"/>
      <c r="N54" s="32"/>
      <c r="T54" s="32"/>
      <c r="U54" s="32"/>
      <c r="V54" s="32"/>
      <c r="W54" s="223"/>
    </row>
    <row r="55" spans="12:23" ht="12.75" hidden="1" customHeight="1" x14ac:dyDescent="0.2">
      <c r="L55" s="32"/>
      <c r="M55" s="32"/>
      <c r="N55" s="32"/>
      <c r="T55" s="32"/>
      <c r="U55" s="32"/>
      <c r="V55" s="32"/>
      <c r="W55" s="223"/>
    </row>
    <row r="56" spans="12:23" ht="12.75" hidden="1" customHeight="1" x14ac:dyDescent="0.2">
      <c r="L56" s="32"/>
      <c r="M56" s="32"/>
      <c r="N56" s="32"/>
      <c r="T56" s="32"/>
      <c r="U56" s="32"/>
      <c r="V56" s="32"/>
      <c r="W56" s="223"/>
    </row>
    <row r="57" spans="12:23" ht="12.75" hidden="1" customHeight="1" x14ac:dyDescent="0.2">
      <c r="L57" s="32"/>
      <c r="M57" s="32"/>
      <c r="N57" s="32"/>
      <c r="T57" s="32"/>
      <c r="U57" s="32"/>
      <c r="V57" s="32"/>
      <c r="W57" s="223"/>
    </row>
    <row r="58" spans="12:23" ht="12.75" hidden="1" customHeight="1" x14ac:dyDescent="0.2">
      <c r="L58" s="32"/>
      <c r="M58" s="32"/>
      <c r="N58" s="32"/>
      <c r="T58" s="32"/>
      <c r="U58" s="32"/>
      <c r="V58" s="32"/>
      <c r="W58" s="223"/>
    </row>
    <row r="59" spans="12:23" ht="12.75" hidden="1" customHeight="1" x14ac:dyDescent="0.2">
      <c r="L59" s="32"/>
      <c r="M59" s="32"/>
      <c r="N59" s="32"/>
      <c r="T59" s="32"/>
      <c r="U59" s="32"/>
      <c r="V59" s="32"/>
      <c r="W59" s="223"/>
    </row>
    <row r="60" spans="12:23" ht="12.75" hidden="1" customHeight="1" x14ac:dyDescent="0.2">
      <c r="L60" s="32"/>
      <c r="M60" s="32"/>
      <c r="N60" s="32"/>
      <c r="T60" s="32"/>
      <c r="U60" s="32"/>
      <c r="V60" s="32"/>
      <c r="W60" s="223"/>
    </row>
    <row r="61" spans="12:23" ht="12.75" hidden="1" customHeight="1" x14ac:dyDescent="0.2">
      <c r="L61" s="32"/>
      <c r="M61" s="32"/>
      <c r="N61" s="32"/>
      <c r="T61" s="32"/>
      <c r="U61" s="32"/>
      <c r="V61" s="32"/>
      <c r="W61" s="223"/>
    </row>
    <row r="62" spans="12:23" ht="12.75" hidden="1" customHeight="1" x14ac:dyDescent="0.2">
      <c r="L62" s="32"/>
      <c r="M62" s="32"/>
      <c r="N62" s="32"/>
      <c r="T62" s="32"/>
      <c r="U62" s="32"/>
      <c r="V62" s="32"/>
      <c r="W62" s="223"/>
    </row>
    <row r="63" spans="12:23" ht="12.75" hidden="1" customHeight="1" x14ac:dyDescent="0.2">
      <c r="L63" s="32"/>
      <c r="M63" s="32"/>
      <c r="N63" s="32"/>
      <c r="T63" s="32"/>
      <c r="U63" s="32"/>
      <c r="V63" s="32"/>
      <c r="W63" s="223"/>
    </row>
    <row r="64" spans="12:23" ht="12.75" hidden="1" customHeight="1" x14ac:dyDescent="0.2">
      <c r="L64" s="32"/>
      <c r="M64" s="32"/>
      <c r="N64" s="32"/>
      <c r="T64" s="32"/>
      <c r="U64" s="32"/>
      <c r="V64" s="32"/>
      <c r="W64" s="223"/>
    </row>
    <row r="65" spans="12:23" ht="12.75" hidden="1" customHeight="1" x14ac:dyDescent="0.2">
      <c r="L65" s="32"/>
      <c r="M65" s="32"/>
      <c r="N65" s="32"/>
      <c r="T65" s="32"/>
      <c r="U65" s="32"/>
      <c r="V65" s="32"/>
      <c r="W65" s="223"/>
    </row>
    <row r="66" spans="12:23" ht="12.75" hidden="1" customHeight="1" x14ac:dyDescent="0.2">
      <c r="L66" s="32"/>
      <c r="M66" s="32"/>
      <c r="N66" s="32"/>
      <c r="T66" s="32"/>
      <c r="U66" s="32"/>
      <c r="V66" s="32"/>
      <c r="W66" s="223"/>
    </row>
    <row r="67" spans="12:23" ht="12.75" hidden="1" customHeight="1" x14ac:dyDescent="0.2">
      <c r="L67" s="32"/>
      <c r="M67" s="32"/>
      <c r="N67" s="32"/>
      <c r="T67" s="32"/>
      <c r="U67" s="32"/>
      <c r="V67" s="32"/>
      <c r="W67" s="223"/>
    </row>
    <row r="68" spans="12:23" ht="12.75" hidden="1" customHeight="1" x14ac:dyDescent="0.2">
      <c r="L68" s="32"/>
      <c r="M68" s="32"/>
      <c r="N68" s="32"/>
      <c r="T68" s="32"/>
      <c r="U68" s="32"/>
      <c r="V68" s="32"/>
      <c r="W68" s="223"/>
    </row>
    <row r="69" spans="12:23" ht="12.75" hidden="1" customHeight="1" x14ac:dyDescent="0.2">
      <c r="L69" s="32"/>
      <c r="M69" s="32"/>
      <c r="N69" s="32"/>
      <c r="T69" s="32"/>
      <c r="U69" s="32"/>
      <c r="V69" s="32"/>
      <c r="W69" s="223"/>
    </row>
    <row r="70" spans="12:23" ht="12.75" hidden="1" customHeight="1" x14ac:dyDescent="0.2">
      <c r="L70" s="32"/>
      <c r="M70" s="32"/>
      <c r="N70" s="32"/>
      <c r="T70" s="32"/>
      <c r="U70" s="32"/>
      <c r="V70" s="32"/>
      <c r="W70" s="223"/>
    </row>
    <row r="71" spans="12:23" ht="12.75" hidden="1" customHeight="1" x14ac:dyDescent="0.2">
      <c r="L71" s="32"/>
      <c r="M71" s="32"/>
      <c r="N71" s="32"/>
      <c r="T71" s="32"/>
      <c r="U71" s="32"/>
      <c r="V71" s="32"/>
      <c r="W71" s="223"/>
    </row>
    <row r="72" spans="12:23" ht="12.75" hidden="1" customHeight="1" x14ac:dyDescent="0.2">
      <c r="L72" s="32"/>
      <c r="M72" s="32"/>
      <c r="N72" s="32"/>
      <c r="T72" s="32"/>
      <c r="U72" s="32"/>
      <c r="V72" s="32"/>
      <c r="W72" s="223"/>
    </row>
    <row r="73" spans="12:23" ht="12.75" hidden="1" customHeight="1" x14ac:dyDescent="0.2">
      <c r="L73" s="32"/>
      <c r="M73" s="32"/>
      <c r="N73" s="32"/>
      <c r="T73" s="32"/>
      <c r="U73" s="32"/>
      <c r="V73" s="32"/>
      <c r="W73" s="223"/>
    </row>
    <row r="74" spans="12:23" ht="12.75" hidden="1" customHeight="1" x14ac:dyDescent="0.2">
      <c r="L74" s="32"/>
      <c r="M74" s="32"/>
      <c r="N74" s="32"/>
      <c r="T74" s="32"/>
      <c r="U74" s="32"/>
      <c r="V74" s="32"/>
      <c r="W74" s="223"/>
    </row>
    <row r="75" spans="12:23" ht="12.75" hidden="1" customHeight="1" x14ac:dyDescent="0.2">
      <c r="L75" s="32"/>
      <c r="M75" s="32"/>
      <c r="N75" s="32"/>
      <c r="T75" s="32"/>
      <c r="U75" s="32"/>
      <c r="V75" s="32"/>
      <c r="W75" s="223"/>
    </row>
    <row r="76" spans="12:23" ht="12.75" hidden="1" customHeight="1" x14ac:dyDescent="0.2">
      <c r="L76" s="32"/>
      <c r="M76" s="32"/>
      <c r="N76" s="32"/>
      <c r="T76" s="32"/>
      <c r="U76" s="32"/>
      <c r="V76" s="32"/>
      <c r="W76" s="223"/>
    </row>
    <row r="77" spans="12:23" ht="12.75" hidden="1" customHeight="1" x14ac:dyDescent="0.2">
      <c r="L77" s="32"/>
      <c r="M77" s="32"/>
      <c r="N77" s="32"/>
      <c r="T77" s="32"/>
      <c r="U77" s="32"/>
      <c r="V77" s="32"/>
      <c r="W77" s="223"/>
    </row>
    <row r="78" spans="12:23" ht="12.75" hidden="1" customHeight="1" x14ac:dyDescent="0.2">
      <c r="L78" s="32"/>
      <c r="M78" s="32"/>
      <c r="N78" s="32"/>
      <c r="T78" s="32"/>
      <c r="U78" s="32"/>
      <c r="V78" s="32"/>
      <c r="W78" s="223"/>
    </row>
    <row r="79" spans="12:23" ht="12.75" hidden="1" customHeight="1" x14ac:dyDescent="0.2">
      <c r="L79" s="32"/>
      <c r="M79" s="32"/>
      <c r="N79" s="32"/>
      <c r="T79" s="32"/>
      <c r="U79" s="32"/>
      <c r="V79" s="32"/>
      <c r="W79" s="223"/>
    </row>
    <row r="80" spans="12:23" ht="12.75" hidden="1" customHeight="1" x14ac:dyDescent="0.2">
      <c r="L80" s="32"/>
      <c r="M80" s="32"/>
      <c r="N80" s="32"/>
      <c r="T80" s="32"/>
      <c r="U80" s="32"/>
      <c r="V80" s="32"/>
      <c r="W80" s="223"/>
    </row>
    <row r="81" spans="12:23" ht="12.75" hidden="1" customHeight="1" x14ac:dyDescent="0.2">
      <c r="L81" s="32"/>
      <c r="M81" s="32"/>
      <c r="N81" s="32"/>
      <c r="T81" s="32"/>
      <c r="U81" s="32"/>
      <c r="V81" s="32"/>
      <c r="W81" s="223"/>
    </row>
    <row r="82" spans="12:23" ht="12.75" hidden="1" customHeight="1" x14ac:dyDescent="0.2">
      <c r="L82" s="32"/>
      <c r="M82" s="32"/>
      <c r="N82" s="32"/>
      <c r="T82" s="32"/>
      <c r="U82" s="32"/>
      <c r="V82" s="32"/>
      <c r="W82" s="223"/>
    </row>
    <row r="83" spans="12:23" ht="12.75" hidden="1" customHeight="1" x14ac:dyDescent="0.2">
      <c r="L83" s="32"/>
      <c r="M83" s="32"/>
      <c r="N83" s="32"/>
      <c r="T83" s="32"/>
      <c r="U83" s="32"/>
      <c r="V83" s="32"/>
      <c r="W83" s="223"/>
    </row>
    <row r="84" spans="12:23" ht="12.75" hidden="1" customHeight="1" x14ac:dyDescent="0.2">
      <c r="L84" s="32"/>
      <c r="M84" s="32"/>
      <c r="N84" s="32"/>
      <c r="T84" s="32"/>
      <c r="U84" s="32"/>
      <c r="V84" s="32"/>
      <c r="W84" s="223"/>
    </row>
    <row r="85" spans="12:23" ht="12.75" hidden="1" customHeight="1" x14ac:dyDescent="0.2">
      <c r="L85" s="32"/>
      <c r="M85" s="32"/>
      <c r="N85" s="32"/>
      <c r="T85" s="32"/>
      <c r="U85" s="32"/>
      <c r="V85" s="32"/>
      <c r="W85" s="223"/>
    </row>
    <row r="86" spans="12:23" ht="12.75" hidden="1" customHeight="1" x14ac:dyDescent="0.2">
      <c r="L86" s="32"/>
      <c r="M86" s="32"/>
      <c r="N86" s="32"/>
      <c r="T86" s="32"/>
      <c r="U86" s="32"/>
      <c r="V86" s="32"/>
      <c r="W86" s="223"/>
    </row>
    <row r="87" spans="12:23" ht="12.75" hidden="1" customHeight="1" x14ac:dyDescent="0.2">
      <c r="L87" s="32"/>
      <c r="M87" s="32"/>
      <c r="N87" s="32"/>
      <c r="T87" s="32"/>
      <c r="U87" s="32"/>
      <c r="V87" s="32"/>
      <c r="W87" s="223"/>
    </row>
    <row r="88" spans="12:23" ht="12.75" hidden="1" customHeight="1" x14ac:dyDescent="0.2">
      <c r="L88" s="32"/>
      <c r="M88" s="32"/>
      <c r="N88" s="32"/>
      <c r="T88" s="32"/>
      <c r="U88" s="32"/>
      <c r="V88" s="32"/>
      <c r="W88" s="223"/>
    </row>
    <row r="89" spans="12:23" ht="12.75" hidden="1" customHeight="1" x14ac:dyDescent="0.2">
      <c r="L89" s="32"/>
      <c r="M89" s="32"/>
      <c r="N89" s="32"/>
      <c r="T89" s="32"/>
      <c r="U89" s="32"/>
      <c r="V89" s="32"/>
      <c r="W89" s="223"/>
    </row>
    <row r="90" spans="12:23" ht="12.75" hidden="1" customHeight="1" x14ac:dyDescent="0.2">
      <c r="L90" s="32"/>
      <c r="M90" s="32"/>
      <c r="N90" s="32"/>
      <c r="T90" s="32"/>
      <c r="U90" s="32"/>
      <c r="V90" s="32"/>
      <c r="W90" s="223"/>
    </row>
    <row r="91" spans="12:23" ht="12.75" hidden="1" customHeight="1" x14ac:dyDescent="0.2">
      <c r="L91" s="32"/>
      <c r="M91" s="32"/>
      <c r="N91" s="32"/>
      <c r="T91" s="32"/>
      <c r="U91" s="32"/>
      <c r="V91" s="32"/>
      <c r="W91" s="223"/>
    </row>
    <row r="92" spans="12:23" ht="12.75" hidden="1" customHeight="1" x14ac:dyDescent="0.2">
      <c r="L92" s="32"/>
      <c r="M92" s="32"/>
      <c r="N92" s="32"/>
      <c r="T92" s="32"/>
      <c r="U92" s="32"/>
      <c r="V92" s="32"/>
      <c r="W92" s="223"/>
    </row>
    <row r="93" spans="12:23" ht="12.75" hidden="1" customHeight="1" x14ac:dyDescent="0.2">
      <c r="L93" s="32"/>
      <c r="M93" s="32"/>
      <c r="N93" s="32"/>
      <c r="T93" s="32"/>
      <c r="U93" s="32"/>
      <c r="V93" s="32"/>
      <c r="W93" s="223"/>
    </row>
    <row r="94" spans="12:23" ht="12.75" hidden="1" customHeight="1" x14ac:dyDescent="0.2">
      <c r="L94" s="32"/>
      <c r="M94" s="32"/>
      <c r="N94" s="32"/>
      <c r="T94" s="32"/>
      <c r="U94" s="32"/>
      <c r="V94" s="32"/>
      <c r="W94" s="223"/>
    </row>
    <row r="95" spans="12:23" ht="12.75" hidden="1" customHeight="1" x14ac:dyDescent="0.2">
      <c r="L95" s="32"/>
      <c r="M95" s="32"/>
      <c r="N95" s="32"/>
      <c r="T95" s="32"/>
      <c r="U95" s="32"/>
      <c r="V95" s="32"/>
      <c r="W95" s="223"/>
    </row>
    <row r="96" spans="12:23" ht="12.75" hidden="1" customHeight="1" x14ac:dyDescent="0.2">
      <c r="L96" s="32"/>
      <c r="M96" s="32"/>
      <c r="N96" s="32"/>
      <c r="T96" s="32"/>
      <c r="U96" s="32"/>
      <c r="V96" s="32"/>
      <c r="W96" s="223"/>
    </row>
    <row r="97" spans="12:23" ht="12.75" hidden="1" customHeight="1" x14ac:dyDescent="0.2">
      <c r="L97" s="32"/>
      <c r="M97" s="32"/>
      <c r="N97" s="32"/>
      <c r="T97" s="32"/>
      <c r="U97" s="32"/>
      <c r="V97" s="32"/>
      <c r="W97" s="223"/>
    </row>
    <row r="98" spans="12:23" ht="12.75" hidden="1" customHeight="1" x14ac:dyDescent="0.2">
      <c r="L98" s="32"/>
      <c r="M98" s="32"/>
      <c r="N98" s="32"/>
      <c r="T98" s="32"/>
      <c r="U98" s="32"/>
      <c r="V98" s="32"/>
      <c r="W98" s="223"/>
    </row>
    <row r="99" spans="12:23" ht="12.75" hidden="1" customHeight="1" x14ac:dyDescent="0.2">
      <c r="L99" s="32"/>
      <c r="M99" s="32"/>
      <c r="N99" s="32"/>
      <c r="T99" s="32"/>
      <c r="U99" s="32"/>
      <c r="V99" s="32"/>
      <c r="W99" s="223"/>
    </row>
    <row r="100" spans="12:23" ht="12.75" hidden="1" customHeight="1" x14ac:dyDescent="0.2">
      <c r="L100" s="32"/>
      <c r="M100" s="32"/>
      <c r="N100" s="32"/>
      <c r="T100" s="32"/>
      <c r="U100" s="32"/>
      <c r="V100" s="32"/>
      <c r="W100" s="223"/>
    </row>
    <row r="101" spans="12:23" ht="12.75" hidden="1" customHeight="1" x14ac:dyDescent="0.2">
      <c r="L101" s="32"/>
      <c r="M101" s="32"/>
      <c r="N101" s="32"/>
      <c r="T101" s="32"/>
      <c r="U101" s="32"/>
      <c r="V101" s="32"/>
      <c r="W101" s="223"/>
    </row>
    <row r="102" spans="12:23" ht="12.75" hidden="1" customHeight="1" x14ac:dyDescent="0.2">
      <c r="L102" s="32"/>
      <c r="M102" s="32"/>
      <c r="N102" s="32"/>
      <c r="T102" s="32"/>
      <c r="U102" s="32"/>
      <c r="V102" s="32"/>
      <c r="W102" s="223"/>
    </row>
    <row r="103" spans="12:23" ht="12.75" hidden="1" customHeight="1" x14ac:dyDescent="0.2">
      <c r="L103" s="32"/>
      <c r="M103" s="32"/>
      <c r="N103" s="32"/>
      <c r="T103" s="32"/>
      <c r="U103" s="32"/>
      <c r="V103" s="32"/>
      <c r="W103" s="223"/>
    </row>
    <row r="104" spans="12:23" ht="12.75" hidden="1" customHeight="1" x14ac:dyDescent="0.2">
      <c r="L104" s="32"/>
      <c r="M104" s="32"/>
      <c r="N104" s="32"/>
      <c r="T104" s="32"/>
      <c r="U104" s="32"/>
      <c r="V104" s="32"/>
      <c r="W104" s="223"/>
    </row>
    <row r="105" spans="12:23" ht="12.75" hidden="1" customHeight="1" x14ac:dyDescent="0.2">
      <c r="L105" s="32"/>
      <c r="M105" s="32"/>
      <c r="N105" s="32"/>
      <c r="T105" s="32"/>
      <c r="U105" s="32"/>
      <c r="V105" s="32"/>
      <c r="W105" s="223"/>
    </row>
    <row r="106" spans="12:23" ht="12.75" hidden="1" customHeight="1" x14ac:dyDescent="0.2">
      <c r="L106" s="32"/>
      <c r="M106" s="32"/>
      <c r="N106" s="32"/>
      <c r="T106" s="32"/>
      <c r="U106" s="32"/>
      <c r="V106" s="32"/>
      <c r="W106" s="223"/>
    </row>
    <row r="107" spans="12:23" ht="12.75" hidden="1" customHeight="1" x14ac:dyDescent="0.2">
      <c r="L107" s="32"/>
      <c r="M107" s="32"/>
      <c r="N107" s="32"/>
      <c r="T107" s="32"/>
      <c r="U107" s="32"/>
      <c r="V107" s="32"/>
      <c r="W107" s="223"/>
    </row>
    <row r="108" spans="12:23" ht="12.75" hidden="1" customHeight="1" x14ac:dyDescent="0.2">
      <c r="L108" s="32"/>
      <c r="M108" s="32"/>
      <c r="N108" s="32"/>
      <c r="T108" s="32"/>
      <c r="U108" s="32"/>
      <c r="V108" s="32"/>
      <c r="W108" s="223"/>
    </row>
    <row r="109" spans="12:23" ht="12.75" hidden="1" customHeight="1" x14ac:dyDescent="0.2">
      <c r="L109" s="32"/>
      <c r="M109" s="32"/>
      <c r="N109" s="32"/>
      <c r="T109" s="32"/>
      <c r="U109" s="32"/>
      <c r="V109" s="32"/>
      <c r="W109" s="223"/>
    </row>
    <row r="110" spans="12:23" ht="12.75" hidden="1" customHeight="1" x14ac:dyDescent="0.2">
      <c r="L110" s="32"/>
      <c r="M110" s="32"/>
      <c r="N110" s="32"/>
      <c r="T110" s="32"/>
      <c r="U110" s="32"/>
      <c r="V110" s="32"/>
      <c r="W110" s="223"/>
    </row>
    <row r="111" spans="12:23" ht="12.75" hidden="1" customHeight="1" x14ac:dyDescent="0.2">
      <c r="L111" s="32"/>
      <c r="M111" s="32"/>
      <c r="N111" s="32"/>
      <c r="T111" s="32"/>
      <c r="U111" s="32"/>
      <c r="V111" s="32"/>
      <c r="W111" s="223"/>
    </row>
    <row r="112" spans="12:23" ht="12.75" hidden="1" customHeight="1" x14ac:dyDescent="0.2">
      <c r="L112" s="32"/>
      <c r="M112" s="32"/>
      <c r="N112" s="32"/>
      <c r="T112" s="32"/>
      <c r="U112" s="32"/>
      <c r="V112" s="32"/>
      <c r="W112" s="223"/>
    </row>
    <row r="113" spans="12:23" ht="12.75" hidden="1" customHeight="1" x14ac:dyDescent="0.2">
      <c r="L113" s="32"/>
      <c r="M113" s="32"/>
      <c r="N113" s="32"/>
      <c r="T113" s="32"/>
      <c r="U113" s="32"/>
      <c r="V113" s="32"/>
      <c r="W113" s="223"/>
    </row>
    <row r="114" spans="12:23" ht="12.75" hidden="1" customHeight="1" x14ac:dyDescent="0.2">
      <c r="L114" s="32"/>
      <c r="M114" s="32"/>
      <c r="N114" s="32"/>
      <c r="T114" s="32"/>
      <c r="U114" s="32"/>
      <c r="V114" s="32"/>
      <c r="W114" s="223"/>
    </row>
    <row r="115" spans="12:23" ht="12.75" hidden="1" customHeight="1" x14ac:dyDescent="0.2">
      <c r="L115" s="32"/>
      <c r="M115" s="32"/>
      <c r="N115" s="32"/>
      <c r="T115" s="32"/>
      <c r="U115" s="32"/>
      <c r="V115" s="32"/>
      <c r="W115" s="223"/>
    </row>
    <row r="116" spans="12:23" ht="12.75" hidden="1" customHeight="1" x14ac:dyDescent="0.2">
      <c r="L116" s="32"/>
      <c r="M116" s="32"/>
      <c r="N116" s="32"/>
      <c r="T116" s="32"/>
      <c r="U116" s="32"/>
      <c r="V116" s="32"/>
      <c r="W116" s="223"/>
    </row>
    <row r="117" spans="12:23" ht="12.75" hidden="1" customHeight="1" x14ac:dyDescent="0.2">
      <c r="L117" s="32"/>
      <c r="M117" s="32"/>
      <c r="N117" s="32"/>
      <c r="T117" s="32"/>
      <c r="U117" s="32"/>
      <c r="V117" s="32"/>
      <c r="W117" s="223"/>
    </row>
    <row r="118" spans="12:23" ht="12.75" hidden="1" customHeight="1" x14ac:dyDescent="0.2">
      <c r="L118" s="32"/>
      <c r="M118" s="32"/>
      <c r="N118" s="32"/>
      <c r="T118" s="32"/>
      <c r="U118" s="32"/>
      <c r="V118" s="32"/>
      <c r="W118" s="223"/>
    </row>
    <row r="119" spans="12:23" ht="12.75" hidden="1" customHeight="1" x14ac:dyDescent="0.2">
      <c r="L119" s="32"/>
      <c r="M119" s="32"/>
      <c r="N119" s="32"/>
      <c r="T119" s="32"/>
      <c r="U119" s="32"/>
      <c r="V119" s="32"/>
      <c r="W119" s="223"/>
    </row>
    <row r="120" spans="12:23" ht="12.75" hidden="1" customHeight="1" x14ac:dyDescent="0.2">
      <c r="L120" s="32"/>
      <c r="M120" s="32"/>
      <c r="N120" s="32"/>
      <c r="T120" s="32"/>
      <c r="U120" s="32"/>
      <c r="V120" s="32"/>
      <c r="W120" s="223"/>
    </row>
    <row r="121" spans="12:23" ht="12.75" hidden="1" customHeight="1" x14ac:dyDescent="0.2">
      <c r="L121" s="32"/>
      <c r="M121" s="32"/>
      <c r="N121" s="32"/>
      <c r="T121" s="32"/>
      <c r="U121" s="32"/>
      <c r="V121" s="32"/>
      <c r="W121" s="223"/>
    </row>
    <row r="122" spans="12:23" ht="12.75" hidden="1" customHeight="1" x14ac:dyDescent="0.2">
      <c r="L122" s="32"/>
      <c r="M122" s="32"/>
      <c r="N122" s="32"/>
      <c r="T122" s="32"/>
      <c r="U122" s="32"/>
      <c r="V122" s="32"/>
      <c r="W122" s="223"/>
    </row>
    <row r="123" spans="12:23" ht="12.75" hidden="1" customHeight="1" x14ac:dyDescent="0.2">
      <c r="L123" s="32"/>
      <c r="M123" s="32"/>
      <c r="N123" s="32"/>
      <c r="T123" s="32"/>
      <c r="U123" s="32"/>
      <c r="V123" s="32"/>
      <c r="W123" s="223"/>
    </row>
    <row r="124" spans="12:23" ht="12.75" hidden="1" customHeight="1" x14ac:dyDescent="0.2">
      <c r="L124" s="32"/>
      <c r="M124" s="32"/>
      <c r="N124" s="32"/>
      <c r="T124" s="32"/>
      <c r="U124" s="32"/>
      <c r="V124" s="32"/>
      <c r="W124" s="223"/>
    </row>
    <row r="125" spans="12:23" ht="12.75" hidden="1" customHeight="1" x14ac:dyDescent="0.2">
      <c r="L125" s="32"/>
      <c r="M125" s="32"/>
      <c r="N125" s="32"/>
      <c r="T125" s="32"/>
      <c r="U125" s="32"/>
      <c r="V125" s="32"/>
      <c r="W125" s="223"/>
    </row>
    <row r="126" spans="12:23" ht="12.75" hidden="1" customHeight="1" x14ac:dyDescent="0.2">
      <c r="L126" s="32"/>
      <c r="M126" s="32"/>
      <c r="N126" s="32"/>
      <c r="T126" s="32"/>
      <c r="U126" s="32"/>
      <c r="V126" s="32"/>
      <c r="W126" s="223"/>
    </row>
    <row r="127" spans="12:23" ht="12.75" hidden="1" customHeight="1" x14ac:dyDescent="0.2">
      <c r="L127" s="32"/>
      <c r="M127" s="32"/>
      <c r="N127" s="32"/>
      <c r="T127" s="32"/>
      <c r="U127" s="32"/>
      <c r="V127" s="32"/>
      <c r="W127" s="223"/>
    </row>
    <row r="128" spans="12:23" ht="12.75" hidden="1" customHeight="1" x14ac:dyDescent="0.2">
      <c r="L128" s="32"/>
      <c r="M128" s="32"/>
      <c r="N128" s="32"/>
      <c r="T128" s="32"/>
      <c r="U128" s="32"/>
      <c r="V128" s="32"/>
      <c r="W128" s="223"/>
    </row>
    <row r="129" spans="12:23" ht="12.75" hidden="1" customHeight="1" x14ac:dyDescent="0.2">
      <c r="L129" s="32"/>
      <c r="M129" s="32"/>
      <c r="N129" s="32"/>
      <c r="T129" s="32"/>
      <c r="U129" s="32"/>
      <c r="V129" s="32"/>
      <c r="W129" s="223"/>
    </row>
    <row r="130" spans="12:23" ht="12.75" hidden="1" customHeight="1" x14ac:dyDescent="0.2">
      <c r="L130" s="32"/>
      <c r="M130" s="32"/>
      <c r="N130" s="32"/>
      <c r="T130" s="32"/>
      <c r="U130" s="32"/>
      <c r="V130" s="32"/>
      <c r="W130" s="223"/>
    </row>
    <row r="131" spans="12:23" ht="12.75" hidden="1" customHeight="1" x14ac:dyDescent="0.2">
      <c r="L131" s="32"/>
      <c r="M131" s="32"/>
      <c r="N131" s="32"/>
      <c r="T131" s="32"/>
      <c r="U131" s="32"/>
      <c r="V131" s="32"/>
      <c r="W131" s="223"/>
    </row>
    <row r="132" spans="12:23" ht="12.75" hidden="1" customHeight="1" x14ac:dyDescent="0.2">
      <c r="L132" s="32"/>
      <c r="M132" s="32"/>
      <c r="N132" s="32"/>
      <c r="T132" s="32"/>
      <c r="U132" s="32"/>
      <c r="V132" s="32"/>
      <c r="W132" s="223"/>
    </row>
    <row r="133" spans="12:23" ht="12.75" hidden="1" customHeight="1" x14ac:dyDescent="0.2">
      <c r="L133" s="32"/>
      <c r="M133" s="32"/>
      <c r="N133" s="32"/>
      <c r="T133" s="32"/>
      <c r="U133" s="32"/>
      <c r="V133" s="32"/>
      <c r="W133" s="223"/>
    </row>
    <row r="134" spans="12:23" ht="12.75" hidden="1" customHeight="1" x14ac:dyDescent="0.2">
      <c r="L134" s="32"/>
      <c r="M134" s="32"/>
      <c r="N134" s="32"/>
      <c r="T134" s="32"/>
      <c r="U134" s="32"/>
      <c r="V134" s="32"/>
      <c r="W134" s="223"/>
    </row>
    <row r="135" spans="12:23" ht="12.75" hidden="1" customHeight="1" x14ac:dyDescent="0.2">
      <c r="L135" s="32"/>
      <c r="M135" s="32"/>
      <c r="N135" s="32"/>
      <c r="T135" s="32"/>
      <c r="U135" s="32"/>
      <c r="V135" s="32"/>
      <c r="W135" s="223"/>
    </row>
    <row r="136" spans="12:23" ht="12.75" hidden="1" customHeight="1" x14ac:dyDescent="0.2">
      <c r="L136" s="32"/>
      <c r="M136" s="32"/>
      <c r="N136" s="32"/>
      <c r="T136" s="32"/>
      <c r="U136" s="32"/>
      <c r="V136" s="32"/>
      <c r="W136" s="616"/>
    </row>
    <row r="137" spans="12:23" ht="12.75" hidden="1" customHeight="1" x14ac:dyDescent="0.2">
      <c r="L137" s="32"/>
      <c r="M137" s="32"/>
      <c r="N137" s="32"/>
      <c r="T137" s="32"/>
      <c r="U137" s="32"/>
      <c r="V137" s="32"/>
      <c r="W137" s="616"/>
    </row>
    <row r="138" spans="12:23" ht="12.75" hidden="1" customHeight="1" x14ac:dyDescent="0.2">
      <c r="L138" s="32"/>
      <c r="M138" s="32"/>
      <c r="N138" s="32"/>
      <c r="T138" s="32"/>
      <c r="U138" s="32"/>
      <c r="V138" s="32"/>
      <c r="W138" s="616"/>
    </row>
    <row r="139" spans="12:23" ht="12.75" hidden="1" customHeight="1" x14ac:dyDescent="0.2">
      <c r="L139" s="32"/>
      <c r="M139" s="32"/>
      <c r="N139" s="32"/>
      <c r="T139" s="32"/>
      <c r="U139" s="32"/>
      <c r="V139" s="32"/>
      <c r="W139" s="616"/>
    </row>
    <row r="140" spans="12:23" ht="12.75" hidden="1" customHeight="1" x14ac:dyDescent="0.2">
      <c r="L140" s="32"/>
      <c r="M140" s="32"/>
      <c r="N140" s="32"/>
      <c r="T140" s="32"/>
      <c r="U140" s="32"/>
      <c r="V140" s="32"/>
      <c r="W140" s="616"/>
    </row>
    <row r="141" spans="12:23" ht="12.75" hidden="1" customHeight="1" x14ac:dyDescent="0.2">
      <c r="L141" s="32"/>
      <c r="M141" s="32"/>
      <c r="N141" s="32"/>
      <c r="T141" s="32"/>
      <c r="U141" s="32"/>
      <c r="V141" s="32"/>
      <c r="W141" s="616"/>
    </row>
    <row r="142" spans="12:23" ht="12.75" hidden="1" customHeight="1" x14ac:dyDescent="0.2">
      <c r="L142" s="32"/>
      <c r="M142" s="32"/>
      <c r="N142" s="32"/>
      <c r="T142" s="32"/>
      <c r="U142" s="32"/>
      <c r="V142" s="32"/>
      <c r="W142" s="616"/>
    </row>
    <row r="143" spans="12:23" ht="12.75" hidden="1" customHeight="1" x14ac:dyDescent="0.2">
      <c r="L143" s="32"/>
      <c r="M143" s="32"/>
      <c r="N143" s="32"/>
      <c r="T143" s="32"/>
      <c r="U143" s="32"/>
      <c r="V143" s="32"/>
      <c r="W143" s="616"/>
    </row>
    <row r="144" spans="12:23" ht="12.75" hidden="1" customHeight="1" x14ac:dyDescent="0.2">
      <c r="L144" s="32"/>
      <c r="M144" s="32"/>
      <c r="N144" s="32"/>
      <c r="T144" s="32"/>
      <c r="U144" s="32"/>
      <c r="V144" s="32"/>
      <c r="W144" s="616"/>
    </row>
    <row r="145" spans="12:23" ht="12.75" hidden="1" customHeight="1" x14ac:dyDescent="0.2">
      <c r="L145" s="32"/>
      <c r="M145" s="32"/>
      <c r="N145" s="32"/>
      <c r="T145" s="32"/>
      <c r="U145" s="32"/>
      <c r="V145" s="32"/>
      <c r="W145" s="616"/>
    </row>
    <row r="146" spans="12:23" ht="12.75" hidden="1" customHeight="1" x14ac:dyDescent="0.2">
      <c r="L146" s="32"/>
      <c r="M146" s="32"/>
      <c r="N146" s="32"/>
      <c r="T146" s="32"/>
      <c r="U146" s="32"/>
      <c r="V146" s="32"/>
      <c r="W146" s="616"/>
    </row>
    <row r="147" spans="12:23" ht="12.75" hidden="1" customHeight="1" x14ac:dyDescent="0.2"/>
    <row r="148" spans="12:23" ht="12.75" hidden="1" customHeight="1" x14ac:dyDescent="0.2"/>
    <row r="149" spans="12:23" hidden="1" x14ac:dyDescent="0.2"/>
    <row r="150" spans="12:23" hidden="1" x14ac:dyDescent="0.2"/>
    <row r="151" spans="12:23" hidden="1" x14ac:dyDescent="0.2"/>
    <row r="152" spans="12:23" hidden="1" x14ac:dyDescent="0.2"/>
    <row r="153" spans="12:23" hidden="1" x14ac:dyDescent="0.2"/>
    <row r="154" spans="12:23" hidden="1" x14ac:dyDescent="0.2"/>
    <row r="155" spans="12:23" hidden="1" x14ac:dyDescent="0.2"/>
    <row r="156" spans="12:23" hidden="1" x14ac:dyDescent="0.2"/>
    <row r="157" spans="12:23" hidden="1" x14ac:dyDescent="0.2"/>
    <row r="158" spans="12:23" hidden="1" x14ac:dyDescent="0.2"/>
    <row r="159" spans="12:23" hidden="1" x14ac:dyDescent="0.2"/>
    <row r="160" spans="12:23" hidden="1" x14ac:dyDescent="0.2"/>
    <row r="161" spans="12:23" hidden="1" x14ac:dyDescent="0.2"/>
    <row r="162" spans="12:23" hidden="1" x14ac:dyDescent="0.2"/>
    <row r="163" spans="12:23" hidden="1" x14ac:dyDescent="0.2">
      <c r="L163" s="32"/>
      <c r="M163" s="32"/>
      <c r="N163" s="32"/>
      <c r="T163" s="32"/>
      <c r="U163" s="32"/>
      <c r="V163" s="32"/>
      <c r="W163" s="32"/>
    </row>
    <row r="164" spans="12:23" hidden="1" x14ac:dyDescent="0.2">
      <c r="L164" s="32"/>
      <c r="M164" s="32"/>
      <c r="N164" s="32"/>
      <c r="T164" s="32"/>
      <c r="U164" s="32"/>
      <c r="V164" s="32"/>
      <c r="W164" s="32"/>
    </row>
    <row r="165" spans="12:23" hidden="1" x14ac:dyDescent="0.2">
      <c r="L165" s="32"/>
      <c r="M165" s="32"/>
      <c r="N165" s="32"/>
      <c r="T165" s="32"/>
      <c r="U165" s="32"/>
      <c r="V165" s="32"/>
      <c r="W165" s="32"/>
    </row>
    <row r="166" spans="12:23" hidden="1" x14ac:dyDescent="0.2">
      <c r="L166" s="32"/>
      <c r="M166" s="32"/>
      <c r="N166" s="32"/>
      <c r="T166" s="32"/>
      <c r="U166" s="32"/>
      <c r="V166" s="32"/>
      <c r="W166" s="32"/>
    </row>
    <row r="167" spans="12:23" hidden="1" x14ac:dyDescent="0.2">
      <c r="L167" s="32"/>
      <c r="M167" s="32"/>
      <c r="N167" s="32"/>
      <c r="T167" s="32"/>
      <c r="U167" s="32"/>
      <c r="V167" s="32"/>
      <c r="W167" s="32"/>
    </row>
    <row r="168" spans="12:23" hidden="1" x14ac:dyDescent="0.2">
      <c r="L168" s="32"/>
      <c r="M168" s="32"/>
      <c r="N168" s="32"/>
      <c r="T168" s="32"/>
      <c r="U168" s="32"/>
      <c r="V168" s="32"/>
      <c r="W168" s="32"/>
    </row>
    <row r="169" spans="12:23" hidden="1" x14ac:dyDescent="0.2">
      <c r="L169" s="32"/>
      <c r="M169" s="32"/>
      <c r="N169" s="32"/>
      <c r="T169" s="32"/>
      <c r="U169" s="32"/>
      <c r="V169" s="32"/>
      <c r="W169" s="32"/>
    </row>
    <row r="170" spans="12:23" hidden="1" x14ac:dyDescent="0.2">
      <c r="L170" s="32"/>
      <c r="M170" s="32"/>
      <c r="N170" s="32"/>
      <c r="T170" s="32"/>
      <c r="U170" s="32"/>
      <c r="V170" s="32"/>
      <c r="W170" s="32"/>
    </row>
    <row r="171" spans="12:23" hidden="1" x14ac:dyDescent="0.2">
      <c r="L171" s="32"/>
      <c r="M171" s="32"/>
      <c r="N171" s="32"/>
      <c r="T171" s="32"/>
      <c r="U171" s="32"/>
      <c r="V171" s="32"/>
      <c r="W171" s="32"/>
    </row>
    <row r="172" spans="12:23" hidden="1" x14ac:dyDescent="0.2">
      <c r="L172" s="32"/>
      <c r="M172" s="32"/>
      <c r="N172" s="32"/>
      <c r="T172" s="32"/>
      <c r="U172" s="32"/>
      <c r="V172" s="32"/>
      <c r="W172" s="32"/>
    </row>
    <row r="173" spans="12:23" hidden="1" x14ac:dyDescent="0.2">
      <c r="L173" s="32"/>
      <c r="M173" s="32"/>
      <c r="N173" s="32"/>
      <c r="T173" s="32"/>
      <c r="U173" s="32"/>
      <c r="V173" s="32"/>
      <c r="W173" s="32"/>
    </row>
    <row r="174" spans="12:23" hidden="1" x14ac:dyDescent="0.2">
      <c r="L174" s="32"/>
      <c r="M174" s="32"/>
      <c r="N174" s="32"/>
      <c r="T174" s="32"/>
      <c r="U174" s="32"/>
      <c r="V174" s="32"/>
      <c r="W174" s="32"/>
    </row>
    <row r="175" spans="12:23" hidden="1" x14ac:dyDescent="0.2">
      <c r="L175" s="32"/>
      <c r="M175" s="32"/>
      <c r="N175" s="32"/>
      <c r="T175" s="32"/>
      <c r="U175" s="32"/>
      <c r="V175" s="32"/>
      <c r="W175" s="32"/>
    </row>
    <row r="176" spans="1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5" hidden="1" x14ac:dyDescent="0.2"/>
    <row r="290" spans="1:15" hidden="1" x14ac:dyDescent="0.2"/>
    <row r="291" spans="1:15" hidden="1" x14ac:dyDescent="0.2"/>
    <row r="292" spans="1:15" hidden="1" x14ac:dyDescent="0.2"/>
    <row r="293" spans="1:15" hidden="1" x14ac:dyDescent="0.2"/>
    <row r="294" spans="1:15" hidden="1" x14ac:dyDescent="0.2"/>
    <row r="295" spans="1:15" hidden="1" x14ac:dyDescent="0.2"/>
    <row r="296" spans="1:15" hidden="1" x14ac:dyDescent="0.2"/>
    <row r="297" spans="1:15" hidden="1" x14ac:dyDescent="0.2"/>
    <row r="299" spans="1:15" x14ac:dyDescent="0.2">
      <c r="A299" s="277"/>
      <c r="B299" s="277"/>
      <c r="C299" s="1364" t="s">
        <v>190</v>
      </c>
      <c r="D299" s="617"/>
      <c r="E299" s="617"/>
    </row>
    <row r="300" spans="1:15" x14ac:dyDescent="0.2">
      <c r="A300" s="279">
        <v>1</v>
      </c>
      <c r="B300" s="1334" t="str">
        <f>IFERROR(INDEX(B$1:B$100,MATCH(A300,A$1:A$100,0)),"")</f>
        <v>Jaan Sepp, Oskar Sepp</v>
      </c>
      <c r="C300" s="55">
        <f>MAX(A300:A313)</f>
        <v>14</v>
      </c>
      <c r="D300" s="55"/>
      <c r="E300" s="55"/>
    </row>
    <row r="301" spans="1:15" x14ac:dyDescent="0.2">
      <c r="A301" s="279">
        <v>2</v>
      </c>
      <c r="B301" s="1334" t="str">
        <f>IFERROR(INDEX(B$1:B$100,MATCH(A301,A$1:A$100,0)),"")</f>
        <v>Kenneth Muusikus, Meelis Luud, Urmas Randlaine</v>
      </c>
      <c r="C301" s="34">
        <f>C300-1</f>
        <v>13</v>
      </c>
      <c r="D301" s="34"/>
      <c r="E301" s="34"/>
      <c r="O301" s="188"/>
    </row>
    <row r="302" spans="1:15" x14ac:dyDescent="0.2">
      <c r="A302" s="279">
        <v>3</v>
      </c>
      <c r="B302" s="1334" t="str">
        <f>IFERROR(INDEX(B$1:B$100,MATCH(A302,A$1:A$100,0)),"")</f>
        <v>Boriss Klubov, Mait Metsla</v>
      </c>
      <c r="C302" s="34">
        <v>11.5</v>
      </c>
      <c r="D302" s="34"/>
      <c r="E302" s="34"/>
      <c r="O302" s="188"/>
    </row>
    <row r="303" spans="1:15" x14ac:dyDescent="0.2">
      <c r="A303" s="279">
        <v>3</v>
      </c>
      <c r="B303" s="1334" t="str">
        <f>B11</f>
        <v>Tõnu Kapper, Vladimir Ogneštšikov</v>
      </c>
      <c r="C303" s="34">
        <v>11.5</v>
      </c>
      <c r="D303" s="34"/>
      <c r="E303" s="34"/>
      <c r="O303" s="188"/>
    </row>
    <row r="304" spans="1:15" x14ac:dyDescent="0.2">
      <c r="A304" s="279">
        <v>5</v>
      </c>
      <c r="B304" s="1334" t="str">
        <f>IFERROR(INDEX(B$1:B$100,MATCH(A304,A$1:A$100,0)),"")</f>
        <v>Andres Veski, Svetlana Veski</v>
      </c>
      <c r="C304" s="34">
        <v>10</v>
      </c>
      <c r="D304" s="34"/>
      <c r="E304" s="34"/>
      <c r="O304" s="188"/>
    </row>
    <row r="305" spans="1:15" x14ac:dyDescent="0.2">
      <c r="A305" s="279">
        <v>6</v>
      </c>
      <c r="B305" s="1334" t="str">
        <f>IFERROR(INDEX(B$1:B$100,MATCH(A305,A$1:A$100,0)),"")</f>
        <v>Elmo Lageda, Tõnu Piik</v>
      </c>
      <c r="C305" s="34">
        <v>8.5</v>
      </c>
      <c r="D305" s="34"/>
      <c r="E305" s="34"/>
    </row>
    <row r="306" spans="1:15" x14ac:dyDescent="0.2">
      <c r="A306" s="279">
        <v>6</v>
      </c>
      <c r="B306" s="1334" t="str">
        <f>B14</f>
        <v>Henri Mitt, Urmas Jõeäär</v>
      </c>
      <c r="C306" s="34">
        <v>8.5</v>
      </c>
      <c r="D306" s="34"/>
      <c r="E306" s="34"/>
    </row>
    <row r="307" spans="1:15" x14ac:dyDescent="0.2">
      <c r="A307" s="279">
        <v>8</v>
      </c>
      <c r="B307" s="1334" t="str">
        <f>IFERROR(INDEX(B$1:B$100,MATCH(A307,A$1:A$100,0)),"")</f>
        <v>Oksana Sažina, Oleg Rõndenkov</v>
      </c>
      <c r="C307" s="34">
        <v>7</v>
      </c>
      <c r="D307" s="34"/>
      <c r="E307" s="34"/>
      <c r="O307" s="188"/>
    </row>
    <row r="308" spans="1:15" x14ac:dyDescent="0.2">
      <c r="A308" s="279">
        <v>9</v>
      </c>
      <c r="B308" s="1334" t="str">
        <f>IFERROR(INDEX(B$1:B$100,MATCH(A308,A$1:A$100,0)),"")</f>
        <v>Janek Tarto, Romek Tarto</v>
      </c>
      <c r="C308" s="34">
        <v>5.5</v>
      </c>
      <c r="D308" s="34"/>
      <c r="E308" s="34"/>
      <c r="O308" s="188"/>
    </row>
    <row r="309" spans="1:15" x14ac:dyDescent="0.2">
      <c r="A309" s="279">
        <v>9</v>
      </c>
      <c r="B309" s="1334" t="str">
        <f>B17</f>
        <v>Karla Purgats, Lemmit Toomra</v>
      </c>
      <c r="C309" s="34">
        <v>5.5</v>
      </c>
      <c r="D309" s="34"/>
      <c r="E309" s="34"/>
      <c r="O309" s="188"/>
    </row>
    <row r="310" spans="1:15" x14ac:dyDescent="0.2">
      <c r="A310" s="279">
        <v>11</v>
      </c>
      <c r="B310" s="1334" t="str">
        <f>IFERROR(INDEX(B$1:B$100,MATCH(A310,A$1:A$100,0)),"")</f>
        <v>Brigitta Neiland, Einar Juhkam, Johannes Neiland</v>
      </c>
      <c r="C310" s="34">
        <v>4</v>
      </c>
      <c r="D310" s="34"/>
      <c r="E310" s="34"/>
    </row>
    <row r="311" spans="1:15" x14ac:dyDescent="0.2">
      <c r="A311" s="279">
        <v>12</v>
      </c>
      <c r="B311" s="1334" t="str">
        <f>IFERROR(INDEX(B$1:B$100,MATCH(A311,A$1:A$100,0)),"")</f>
        <v>Enn Tokman, Tarmo Bombe</v>
      </c>
      <c r="C311" s="34">
        <f t="shared" ref="C311:C313" si="11">C310-1</f>
        <v>3</v>
      </c>
      <c r="D311" s="34"/>
      <c r="E311" s="34"/>
    </row>
    <row r="312" spans="1:15" x14ac:dyDescent="0.2">
      <c r="A312" s="279">
        <v>13</v>
      </c>
      <c r="B312" s="1334" t="str">
        <f>IFERROR(INDEX(B$1:B$100,MATCH(A312,A$1:A$100,0)),"")</f>
        <v>Melika Lehtla, Peep Peenema</v>
      </c>
      <c r="C312" s="34">
        <f t="shared" si="11"/>
        <v>2</v>
      </c>
      <c r="D312" s="34"/>
      <c r="E312" s="34"/>
      <c r="F312" s="862"/>
    </row>
    <row r="313" spans="1:15" x14ac:dyDescent="0.2">
      <c r="A313" s="279">
        <v>14</v>
      </c>
      <c r="B313" s="1334" t="str">
        <f>IFERROR(INDEX(B$1:B$100,MATCH(A313,A$1:A$100,0)),"")</f>
        <v>Aarne Välja, Andrei Grintšak</v>
      </c>
      <c r="C313" s="34">
        <f t="shared" si="11"/>
        <v>1</v>
      </c>
      <c r="D313" s="34"/>
      <c r="E313" s="34"/>
      <c r="F313" s="34"/>
      <c r="O313" s="188"/>
    </row>
    <row r="317" spans="1:15" x14ac:dyDescent="0.2">
      <c r="O317" s="188"/>
    </row>
  </sheetData>
  <conditionalFormatting sqref="A300:A313">
    <cfRule type="duplicateValues" dxfId="528" priority="88"/>
  </conditionalFormatting>
  <conditionalFormatting sqref="AI8:AI21 AO8:AO21 AM8:AM21">
    <cfRule type="expression" dxfId="527" priority="87">
      <formula>AND(AJ8="",COUNTIF(AI8,"*,*")=0)</formula>
    </cfRule>
  </conditionalFormatting>
  <conditionalFormatting sqref="AK8:AK21">
    <cfRule type="expression" dxfId="526" priority="85">
      <formula>AND(AL8="",FIND(",",AK8))</formula>
    </cfRule>
    <cfRule type="expression" dxfId="525" priority="86">
      <formula>AND(AL8="",COUNTIF(AK8,"*,*")=0)</formula>
    </cfRule>
  </conditionalFormatting>
  <conditionalFormatting sqref="B301:B313">
    <cfRule type="containsBlanks" dxfId="524" priority="83">
      <formula>LEN(TRIM(B301))=0</formula>
    </cfRule>
    <cfRule type="duplicateValues" dxfId="523" priority="84"/>
  </conditionalFormatting>
  <conditionalFormatting sqref="B300:B313">
    <cfRule type="expression" dxfId="522" priority="78">
      <formula>A300=3</formula>
    </cfRule>
    <cfRule type="expression" dxfId="521" priority="79">
      <formula>A300=2</formula>
    </cfRule>
    <cfRule type="expression" dxfId="520" priority="80">
      <formula>A300=1</formula>
    </cfRule>
    <cfRule type="containsBlanks" dxfId="519" priority="81">
      <formula>LEN(TRIM(B300))=0</formula>
    </cfRule>
    <cfRule type="duplicateValues" dxfId="518" priority="82"/>
  </conditionalFormatting>
  <conditionalFormatting sqref="C8:C21">
    <cfRule type="expression" dxfId="517" priority="22">
      <formula>IF($C8&gt;$E8,TRUE)</formula>
    </cfRule>
  </conditionalFormatting>
  <conditionalFormatting sqref="E8:E21">
    <cfRule type="expression" dxfId="516" priority="23">
      <formula>IF($C8&lt;$E8,TRUE)</formula>
    </cfRule>
  </conditionalFormatting>
  <conditionalFormatting sqref="K8:K21">
    <cfRule type="expression" dxfId="515" priority="30">
      <formula>IF($K8&gt;$M8,TRUE)</formula>
    </cfRule>
  </conditionalFormatting>
  <conditionalFormatting sqref="M8:M21">
    <cfRule type="expression" dxfId="514" priority="31">
      <formula>IF($K8&lt;$M8,TRUE)</formula>
    </cfRule>
  </conditionalFormatting>
  <conditionalFormatting sqref="O8:O21">
    <cfRule type="expression" dxfId="513" priority="34">
      <formula>IF($O8&gt;$Q8,TRUE)</formula>
    </cfRule>
  </conditionalFormatting>
  <conditionalFormatting sqref="Q8:Q21">
    <cfRule type="expression" dxfId="512" priority="35">
      <formula>IF($O8&lt;$Q8,TRUE)</formula>
    </cfRule>
  </conditionalFormatting>
  <conditionalFormatting sqref="S8:S21">
    <cfRule type="expression" dxfId="511" priority="38">
      <formula>IF($S8&gt;$U8,TRUE)</formula>
    </cfRule>
  </conditionalFormatting>
  <conditionalFormatting sqref="U8:U21">
    <cfRule type="expression" dxfId="510" priority="39">
      <formula>IF($S8&lt;$U8,TRUE)</formula>
    </cfRule>
  </conditionalFormatting>
  <conditionalFormatting sqref="G8:G21">
    <cfRule type="expression" dxfId="509" priority="26">
      <formula>IF($G8&gt;$I8,TRUE)</formula>
    </cfRule>
  </conditionalFormatting>
  <conditionalFormatting sqref="I8:I21">
    <cfRule type="expression" dxfId="508" priority="27">
      <formula>IF($G8&lt;$I8,TRUE)</formula>
    </cfRule>
  </conditionalFormatting>
  <conditionalFormatting sqref="F8:F21 N8:N21 R8:R21 V8:V21 J8:J21 Z8:Z21">
    <cfRule type="containsText" dxfId="507" priority="8" operator="containsText" text="vaba voor">
      <formula>NOT(ISERROR(SEARCH("vaba voor",F8)))</formula>
    </cfRule>
  </conditionalFormatting>
  <conditionalFormatting sqref="W8:W21">
    <cfRule type="expression" dxfId="506" priority="13">
      <formula>IF($W8&gt;$Y8,TRUE)</formula>
    </cfRule>
  </conditionalFormatting>
  <conditionalFormatting sqref="Y8:Y21">
    <cfRule type="expression" dxfId="505" priority="14">
      <formula>IF($W8&lt;$Y8,TRUE)</formula>
    </cfRule>
  </conditionalFormatting>
  <conditionalFormatting sqref="C8:F21">
    <cfRule type="expression" dxfId="504" priority="18">
      <formula>IF(AND(ISNUMBER($C8),$C8=$E8),TRUE)</formula>
    </cfRule>
    <cfRule type="expression" dxfId="503" priority="20">
      <formula>IF($C8&gt;$E8,TRUE)</formula>
    </cfRule>
    <cfRule type="expression" dxfId="502" priority="21">
      <formula>IF($C8&lt;$E8,TRUE)</formula>
    </cfRule>
  </conditionalFormatting>
  <conditionalFormatting sqref="G8:J21">
    <cfRule type="expression" dxfId="501" priority="19">
      <formula>IF(AND(ISNUMBER($G8),$G8=$I8),TRUE)</formula>
    </cfRule>
    <cfRule type="expression" dxfId="500" priority="24">
      <formula>IF($G8&gt;$I8,TRUE)</formula>
    </cfRule>
    <cfRule type="expression" dxfId="499" priority="25">
      <formula>IF($G8&lt;$I8,TRUE)</formula>
    </cfRule>
  </conditionalFormatting>
  <conditionalFormatting sqref="K8:N21">
    <cfRule type="expression" dxfId="498" priority="17">
      <formula>IF(AND(ISNUMBER($K8),$K8=$M8),TRUE)</formula>
    </cfRule>
    <cfRule type="expression" dxfId="497" priority="28">
      <formula>IF($K8&gt;$M8,TRUE)</formula>
    </cfRule>
    <cfRule type="expression" dxfId="496" priority="29">
      <formula>IF($K8&lt;$M8,TRUE)</formula>
    </cfRule>
  </conditionalFormatting>
  <conditionalFormatting sqref="O8:R21">
    <cfRule type="expression" dxfId="495" priority="16">
      <formula>IF(AND(ISNUMBER($O8),$O8=$Q8),TRUE)</formula>
    </cfRule>
    <cfRule type="expression" dxfId="494" priority="32">
      <formula>IF($O8&gt;$Q8,TRUE)</formula>
    </cfRule>
    <cfRule type="expression" dxfId="493" priority="33">
      <formula>IF($O8&lt;$Q8,TRUE)</formula>
    </cfRule>
  </conditionalFormatting>
  <conditionalFormatting sqref="S8:V21">
    <cfRule type="expression" dxfId="492" priority="15">
      <formula>IF(AND(ISNUMBER($S8),$S8=$U8),TRUE)</formula>
    </cfRule>
    <cfRule type="expression" dxfId="491" priority="36">
      <formula>IF($S8&gt;$U8,TRUE)</formula>
    </cfRule>
    <cfRule type="expression" dxfId="490" priority="37">
      <formula>IF($S8&lt;$U8,TRUE)</formula>
    </cfRule>
  </conditionalFormatting>
  <conditionalFormatting sqref="W8:Z21">
    <cfRule type="expression" dxfId="489" priority="10">
      <formula>IF(AND(ISNUMBER($W8),$W8=$Y8),TRUE)</formula>
    </cfRule>
    <cfRule type="expression" dxfId="488" priority="11">
      <formula>IF($W8&gt;$Y8,TRUE)</formula>
    </cfRule>
    <cfRule type="expression" dxfId="487" priority="12">
      <formula>IF($W8&lt;$Y8,TRUE)</formula>
    </cfRule>
  </conditionalFormatting>
  <conditionalFormatting sqref="W8:W21 C8:C21 G8:G21 K8:K21 O8:O21 S8:S21">
    <cfRule type="expression" dxfId="486" priority="2">
      <formula>AND(C8=0,E8=13)</formula>
    </cfRule>
  </conditionalFormatting>
  <conditionalFormatting sqref="Y8:Y21 E8:E21 I8:I21 M8:M21 Q8:Q21 U8:U21">
    <cfRule type="expression" dxfId="485" priority="3">
      <formula>AND(E8=0,C8=13)</formula>
    </cfRule>
  </conditionalFormatting>
  <conditionalFormatting sqref="A8:A21">
    <cfRule type="duplicateValues" dxfId="484" priority="3258"/>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CFFCC"/>
    <pageSetUpPr fitToPage="1"/>
  </sheetPr>
  <dimension ref="A1:AP319"/>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42.28515625" style="32"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UPPER((Kalend!E30)&amp;" - "&amp;(Kalend!C30)&amp;" - "&amp;(Kalend!D30))</f>
        <v>V6 - VOKA 5. KV 6.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"&amp;(Kalend!A30)&amp;" kell "&amp;(Kalend!B30)</f>
        <v>Toimumisaeg: K, 25.07.2018 kell 18:00</v>
      </c>
      <c r="Y2" s="56" t="s">
        <v>449</v>
      </c>
      <c r="AE2" s="56" t="s">
        <v>449</v>
      </c>
    </row>
    <row r="3" spans="1:42" x14ac:dyDescent="0.2">
      <c r="A3" s="2" t="str">
        <f>"Toimumiskoht: "&amp;(Kalend!F30)</f>
        <v>Toimumiskoht: Voka staadion</v>
      </c>
      <c r="G3" s="1337"/>
      <c r="H3" s="1337"/>
      <c r="I3" s="1338" t="s">
        <v>446</v>
      </c>
      <c r="J3" s="659">
        <v>1</v>
      </c>
      <c r="K3" s="188" t="s">
        <v>493</v>
      </c>
    </row>
    <row r="4" spans="1:42" x14ac:dyDescent="0.2">
      <c r="A4" s="2" t="str">
        <f>"Korraldaja: "&amp;(Kalend!G30)</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22" t="s">
        <v>33</v>
      </c>
      <c r="C8" s="1323">
        <v>13</v>
      </c>
      <c r="D8" s="1324" t="s">
        <v>211</v>
      </c>
      <c r="E8" s="1325">
        <v>6</v>
      </c>
      <c r="F8" s="1315" t="str">
        <f>B16</f>
        <v>Anna Romanenko, Tarmo Müür</v>
      </c>
      <c r="G8" s="1323">
        <v>7</v>
      </c>
      <c r="H8" s="1324" t="s">
        <v>211</v>
      </c>
      <c r="I8" s="1325">
        <v>13</v>
      </c>
      <c r="J8" s="1315" t="str">
        <f>B14</f>
        <v>Jaan Sepp, Oskar Sepp</v>
      </c>
      <c r="K8" s="1323">
        <v>13</v>
      </c>
      <c r="L8" s="1324" t="s">
        <v>211</v>
      </c>
      <c r="M8" s="1325">
        <v>9</v>
      </c>
      <c r="N8" s="1315" t="str">
        <f>B18</f>
        <v>Mait Metsla, Vladimir Ogneštšikov</v>
      </c>
      <c r="O8" s="1323">
        <v>13</v>
      </c>
      <c r="P8" s="1324" t="s">
        <v>211</v>
      </c>
      <c r="Q8" s="1325">
        <v>8</v>
      </c>
      <c r="R8" s="1315" t="str">
        <f>B19</f>
        <v>Margus Vasser, Vello Vasser</v>
      </c>
      <c r="S8" s="1323">
        <v>13</v>
      </c>
      <c r="T8" s="1324" t="s">
        <v>211</v>
      </c>
      <c r="U8" s="1325">
        <v>7</v>
      </c>
      <c r="V8" s="1315" t="str">
        <f>B9</f>
        <v>Ivar Viljaste, Sirje Viljaste</v>
      </c>
      <c r="W8" s="1323"/>
      <c r="X8" s="1324" t="s">
        <v>211</v>
      </c>
      <c r="Y8" s="1325"/>
      <c r="Z8" s="1315"/>
      <c r="AA8" s="1330">
        <f t="shared" ref="AA8:AA23" si="0">IF(C8&gt;E8,J$3,IF(C8&lt;E8,J$5,IF(ISNUMBER(C8),J$4,0)))+IF(G8&gt;I8,J$3,IF(G8&lt;I8,J$5,IF(ISNUMBER(G8),J$4,0)))+IF(K8&gt;M8,J$3,IF(K8&lt;M8,J$5,IF(ISNUMBER(K8),J$4,0)))+IF(O8&gt;Q8,J$3,IF(O8&lt;Q8,J$5,IF(ISNUMBER(O8),J$4,0)))+IF(S8&gt;U8,J$3,IF(S8&lt;U8,J$5,IF(ISNUMBER(S8),J$4,0)))+IF(W8&gt;Y8,J$3,IF(W8&lt;Y8,J$5,IF(ISNUMBER(W8),J$4,0)))</f>
        <v>4</v>
      </c>
      <c r="AB8" s="1331"/>
      <c r="AC8" s="1323">
        <f t="shared" ref="AC8:AC23" si="1">C8+G8+K8+O8+S8+W8</f>
        <v>59</v>
      </c>
      <c r="AD8" s="1324" t="s">
        <v>211</v>
      </c>
      <c r="AE8" s="1326">
        <f t="shared" ref="AE8:AE23" si="2">E8+I8+M8+Q8+U8+Y8</f>
        <v>43</v>
      </c>
      <c r="AF8" s="1327">
        <f t="shared" ref="AF8:AF23" si="3">AC8-AE8</f>
        <v>16</v>
      </c>
      <c r="AG8" s="663"/>
      <c r="AH8" s="499">
        <f t="shared" ref="AH8" si="4">SUM(AJ8:AP8)</f>
        <v>180</v>
      </c>
      <c r="AI8" s="605" t="str">
        <f t="shared" ref="AI8:AI23" si="5">IFERROR(LEFT($B8,(FIND(",",$B8,1)-1)),"")</f>
        <v>Elmo Lageda</v>
      </c>
      <c r="AJ8" s="604">
        <f>IFERROR(INDEX(V!$N:$N,MATCH(AI8,V!$I:$I,0)),"")</f>
        <v>91</v>
      </c>
      <c r="AK8" s="605" t="str">
        <f t="shared" ref="AK8:AK23" si="6">IFERROR(MID($B8,FIND(", ",$B8)+2,256),"")</f>
        <v>Tõnu Piik</v>
      </c>
      <c r="AL8" s="604">
        <f>IFERROR(INDEX(V!$N:$N,MATCH(AK8,V!$I:$I,0)),"")</f>
        <v>89</v>
      </c>
      <c r="AM8" s="603" t="str">
        <f t="shared" ref="AM8:AM23" si="7">IFERROR(MID($B8,FIND("^",SUBSTITUTE($B8,", ","^",1))+2,FIND("^",SUBSTITUTE($B8,", ","^",2))-FIND("^",SUBSTITUTE($B8,", ","^",1))-2),"")</f>
        <v/>
      </c>
      <c r="AN8" s="604" t="str">
        <f>IFERROR(INDEX(V!$N:$N,MATCH(AM8,V!$I:$I,0)),"")</f>
        <v/>
      </c>
      <c r="AO8" s="603" t="str">
        <f t="shared" ref="AO8:AO23" si="8">IFERROR(MID($B8,FIND(", ",$B8,FIND(", ",$B8,FIND(", ",$B8))+1)+2,700),"")</f>
        <v/>
      </c>
      <c r="AP8" s="604" t="str">
        <f>IFERROR(INDEX(V!$N:$N,MATCH(AO8,V!$I:$I,0)),"")</f>
        <v/>
      </c>
    </row>
    <row r="9" spans="1:42" ht="12.75" customHeight="1" x14ac:dyDescent="0.2">
      <c r="A9" s="1319">
        <v>2</v>
      </c>
      <c r="B9" s="1322" t="s">
        <v>484</v>
      </c>
      <c r="C9" s="1323">
        <v>13</v>
      </c>
      <c r="D9" s="1324" t="s">
        <v>211</v>
      </c>
      <c r="E9" s="1325">
        <v>1</v>
      </c>
      <c r="F9" s="1315" t="str">
        <f>B21</f>
        <v>Brigitta Neiland, Einar Juhkam, Johannes Neiland</v>
      </c>
      <c r="G9" s="1323">
        <v>13</v>
      </c>
      <c r="H9" s="1324" t="s">
        <v>211</v>
      </c>
      <c r="I9" s="1325">
        <v>2</v>
      </c>
      <c r="J9" s="1315" t="str">
        <f>B23</f>
        <v>Andrei Grintšak, Jaan Saar</v>
      </c>
      <c r="K9" s="1323">
        <v>13</v>
      </c>
      <c r="L9" s="1324" t="s">
        <v>211</v>
      </c>
      <c r="M9" s="1325">
        <v>4</v>
      </c>
      <c r="N9" s="1315" t="str">
        <f>B14</f>
        <v>Jaan Sepp, Oskar Sepp</v>
      </c>
      <c r="O9" s="1323">
        <v>13</v>
      </c>
      <c r="P9" s="1324" t="s">
        <v>211</v>
      </c>
      <c r="Q9" s="1325">
        <v>12</v>
      </c>
      <c r="R9" s="1315" t="str">
        <f>B11</f>
        <v>Oksana Sažina, Oleg Rõndenkov</v>
      </c>
      <c r="S9" s="1323">
        <v>7</v>
      </c>
      <c r="T9" s="1324" t="s">
        <v>211</v>
      </c>
      <c r="U9" s="1325">
        <v>13</v>
      </c>
      <c r="V9" s="1315" t="str">
        <f>B8</f>
        <v>Elmo Lageda, Tõnu Piik</v>
      </c>
      <c r="W9" s="1323"/>
      <c r="X9" s="1324" t="s">
        <v>211</v>
      </c>
      <c r="Y9" s="1325"/>
      <c r="Z9" s="1315"/>
      <c r="AA9" s="1330">
        <f t="shared" si="0"/>
        <v>4</v>
      </c>
      <c r="AB9" s="1331"/>
      <c r="AC9" s="1323">
        <f t="shared" si="1"/>
        <v>59</v>
      </c>
      <c r="AD9" s="1324" t="s">
        <v>211</v>
      </c>
      <c r="AE9" s="1326">
        <f t="shared" si="2"/>
        <v>32</v>
      </c>
      <c r="AF9" s="1327">
        <f t="shared" si="3"/>
        <v>27</v>
      </c>
      <c r="AG9" s="663"/>
      <c r="AH9" s="499">
        <f t="shared" ref="AH9:AH18" si="9">SUM(AJ9:AP9)</f>
        <v>90</v>
      </c>
      <c r="AI9" s="605" t="str">
        <f t="shared" si="5"/>
        <v>Ivar Viljaste</v>
      </c>
      <c r="AJ9" s="604">
        <f>IFERROR(INDEX(V!$N:$N,MATCH(AI9,V!$I:$I,0)),"")</f>
        <v>59</v>
      </c>
      <c r="AK9" s="605" t="str">
        <f t="shared" si="6"/>
        <v>Sirje Viljaste</v>
      </c>
      <c r="AL9" s="604">
        <f>IFERROR(INDEX(V!$N:$N,MATCH(AK9,V!$I:$I,0)),"")</f>
        <v>31</v>
      </c>
      <c r="AM9" s="603" t="str">
        <f t="shared" si="7"/>
        <v/>
      </c>
      <c r="AN9" s="604" t="str">
        <f>IFERROR(INDEX(V!$N:$N,MATCH(AM9,V!$I:$I,0)),"")</f>
        <v/>
      </c>
      <c r="AO9" s="603" t="str">
        <f t="shared" si="8"/>
        <v/>
      </c>
      <c r="AP9" s="604" t="str">
        <f>IFERROR(INDEX(V!$N:$N,MATCH(AO9,V!$I:$I,0)),"")</f>
        <v/>
      </c>
    </row>
    <row r="10" spans="1:42" ht="12.75" customHeight="1" x14ac:dyDescent="0.2">
      <c r="A10" s="1319">
        <v>3</v>
      </c>
      <c r="B10" s="1328" t="s">
        <v>595</v>
      </c>
      <c r="C10" s="1323">
        <v>2</v>
      </c>
      <c r="D10" s="1324" t="s">
        <v>211</v>
      </c>
      <c r="E10" s="1325">
        <v>13</v>
      </c>
      <c r="F10" s="1315" t="str">
        <f>B23</f>
        <v>Andrei Grintšak, Jaan Saar</v>
      </c>
      <c r="G10" s="1323">
        <v>13</v>
      </c>
      <c r="H10" s="1324" t="s">
        <v>211</v>
      </c>
      <c r="I10" s="1325">
        <v>4</v>
      </c>
      <c r="J10" s="1315" t="str">
        <f>B21</f>
        <v>Brigitta Neiland, Einar Juhkam, Johannes Neiland</v>
      </c>
      <c r="K10" s="1323">
        <v>13</v>
      </c>
      <c r="L10" s="1324" t="s">
        <v>211</v>
      </c>
      <c r="M10" s="1325">
        <v>10</v>
      </c>
      <c r="N10" s="1315" t="str">
        <f>B12</f>
        <v>Aigi Orro, Kalle Orro</v>
      </c>
      <c r="O10" s="1323">
        <v>13</v>
      </c>
      <c r="P10" s="1324" t="s">
        <v>211</v>
      </c>
      <c r="Q10" s="1325">
        <v>7</v>
      </c>
      <c r="R10" s="1315" t="str">
        <f>B13</f>
        <v>Andres Veski, Svetlana Veski</v>
      </c>
      <c r="S10" s="1323">
        <v>13</v>
      </c>
      <c r="T10" s="1324" t="s">
        <v>211</v>
      </c>
      <c r="U10" s="1325">
        <v>1</v>
      </c>
      <c r="V10" s="1315" t="str">
        <f>B19</f>
        <v>Margus Vasser, Vello Vasser</v>
      </c>
      <c r="W10" s="1323"/>
      <c r="X10" s="1324" t="s">
        <v>211</v>
      </c>
      <c r="Y10" s="1325"/>
      <c r="Z10" s="1315"/>
      <c r="AA10" s="1330">
        <f t="shared" si="0"/>
        <v>4</v>
      </c>
      <c r="AB10" s="1331"/>
      <c r="AC10" s="1323">
        <f t="shared" si="1"/>
        <v>54</v>
      </c>
      <c r="AD10" s="1324" t="s">
        <v>211</v>
      </c>
      <c r="AE10" s="1326">
        <f t="shared" si="2"/>
        <v>35</v>
      </c>
      <c r="AF10" s="1327">
        <f t="shared" si="3"/>
        <v>19</v>
      </c>
      <c r="AG10" s="663"/>
      <c r="AH10" s="499">
        <f t="shared" si="9"/>
        <v>147.5</v>
      </c>
      <c r="AI10" s="605" t="str">
        <f t="shared" si="5"/>
        <v>Kenneth Muusikus</v>
      </c>
      <c r="AJ10" s="604">
        <f>IFERROR(INDEX(V!$N:$N,MATCH(AI10,V!$I:$I,0)),"")</f>
        <v>87</v>
      </c>
      <c r="AK10" s="605" t="str">
        <f t="shared" si="6"/>
        <v>Meelis Luud</v>
      </c>
      <c r="AL10" s="604">
        <f>IFERROR(INDEX(V!$N:$N,MATCH(AK10,V!$I:$I,0)),"")</f>
        <v>60.5</v>
      </c>
      <c r="AM10" s="603" t="str">
        <f t="shared" si="7"/>
        <v/>
      </c>
      <c r="AN10" s="604" t="str">
        <f>IFERROR(INDEX(V!$N:$N,MATCH(AM10,V!$I:$I,0)),"")</f>
        <v/>
      </c>
      <c r="AO10" s="603" t="str">
        <f t="shared" si="8"/>
        <v/>
      </c>
      <c r="AP10" s="604" t="str">
        <f>IFERROR(INDEX(V!$N:$N,MATCH(AO10,V!$I:$I,0)),"")</f>
        <v/>
      </c>
    </row>
    <row r="11" spans="1:42" ht="12.75" customHeight="1" x14ac:dyDescent="0.2">
      <c r="A11" s="1319">
        <v>3</v>
      </c>
      <c r="B11" s="1328" t="s">
        <v>35</v>
      </c>
      <c r="C11" s="1323">
        <v>13</v>
      </c>
      <c r="D11" s="1324" t="s">
        <v>211</v>
      </c>
      <c r="E11" s="1325">
        <v>5</v>
      </c>
      <c r="F11" s="1315" t="str">
        <f>B12</f>
        <v>Aigi Orro, Kalle Orro</v>
      </c>
      <c r="G11" s="1323">
        <v>13</v>
      </c>
      <c r="H11" s="1324" t="s">
        <v>211</v>
      </c>
      <c r="I11" s="1325">
        <v>3</v>
      </c>
      <c r="J11" s="1315" t="str">
        <f>B22</f>
        <v>Karla Purgats, Lemmit Toomra</v>
      </c>
      <c r="K11" s="1323">
        <v>13</v>
      </c>
      <c r="L11" s="1324" t="s">
        <v>211</v>
      </c>
      <c r="M11" s="1325">
        <v>7</v>
      </c>
      <c r="N11" s="1315" t="str">
        <f>B13</f>
        <v>Andres Veski, Svetlana Veski</v>
      </c>
      <c r="O11" s="1323">
        <v>12</v>
      </c>
      <c r="P11" s="1324" t="s">
        <v>211</v>
      </c>
      <c r="Q11" s="1325">
        <v>13</v>
      </c>
      <c r="R11" s="1315" t="str">
        <f>B9</f>
        <v>Ivar Viljaste, Sirje Viljaste</v>
      </c>
      <c r="S11" s="1323">
        <v>13</v>
      </c>
      <c r="T11" s="1324" t="s">
        <v>211</v>
      </c>
      <c r="U11" s="1325">
        <v>11</v>
      </c>
      <c r="V11" s="1315" t="str">
        <f>B14</f>
        <v>Jaan Sepp, Oskar Sepp</v>
      </c>
      <c r="W11" s="1323"/>
      <c r="X11" s="1324" t="s">
        <v>211</v>
      </c>
      <c r="Y11" s="1325"/>
      <c r="Z11" s="1315"/>
      <c r="AA11" s="1330">
        <f t="shared" si="0"/>
        <v>4</v>
      </c>
      <c r="AB11" s="1331"/>
      <c r="AC11" s="1323">
        <f t="shared" si="1"/>
        <v>64</v>
      </c>
      <c r="AD11" s="1324" t="s">
        <v>211</v>
      </c>
      <c r="AE11" s="1326">
        <f t="shared" si="2"/>
        <v>39</v>
      </c>
      <c r="AF11" s="1327">
        <f t="shared" si="3"/>
        <v>25</v>
      </c>
      <c r="AG11" s="663"/>
      <c r="AH11" s="499">
        <f t="shared" si="9"/>
        <v>137</v>
      </c>
      <c r="AI11" s="605" t="str">
        <f t="shared" si="5"/>
        <v>Oksana Sažina</v>
      </c>
      <c r="AJ11" s="604">
        <f>IFERROR(INDEX(V!$N:$N,MATCH(AI11,V!$I:$I,0)),"")</f>
        <v>72</v>
      </c>
      <c r="AK11" s="605" t="str">
        <f t="shared" si="6"/>
        <v>Oleg Rõndenkov</v>
      </c>
      <c r="AL11" s="604">
        <f>IFERROR(INDEX(V!$N:$N,MATCH(AK11,V!$I:$I,0)),"")</f>
        <v>65</v>
      </c>
      <c r="AM11" s="603" t="str">
        <f t="shared" si="7"/>
        <v/>
      </c>
      <c r="AN11" s="604" t="str">
        <f>IFERROR(INDEX(V!$N:$N,MATCH(AM11,V!$I:$I,0)),"")</f>
        <v/>
      </c>
      <c r="AO11" s="603" t="str">
        <f t="shared" si="8"/>
        <v/>
      </c>
      <c r="AP11" s="604" t="str">
        <f>IFERROR(INDEX(V!$N:$N,MATCH(AO11,V!$I:$I,0)),"")</f>
        <v/>
      </c>
    </row>
    <row r="12" spans="1:42" ht="12.75" customHeight="1" x14ac:dyDescent="0.2">
      <c r="A12" s="1356">
        <v>5</v>
      </c>
      <c r="B12" s="1328" t="s">
        <v>37</v>
      </c>
      <c r="C12" s="1323">
        <v>5</v>
      </c>
      <c r="D12" s="1324" t="s">
        <v>211</v>
      </c>
      <c r="E12" s="1325">
        <v>13</v>
      </c>
      <c r="F12" s="1315" t="str">
        <f>B11</f>
        <v>Oksana Sažina, Oleg Rõndenkov</v>
      </c>
      <c r="G12" s="1323">
        <v>13</v>
      </c>
      <c r="H12" s="1324" t="s">
        <v>211</v>
      </c>
      <c r="I12" s="1325">
        <v>7</v>
      </c>
      <c r="J12" s="1315" t="str">
        <f>B17</f>
        <v>Enn Tokman, Tarmo Bombe</v>
      </c>
      <c r="K12" s="1323">
        <v>10</v>
      </c>
      <c r="L12" s="1324" t="s">
        <v>211</v>
      </c>
      <c r="M12" s="1325">
        <v>13</v>
      </c>
      <c r="N12" s="1315" t="str">
        <f>B10</f>
        <v>Kenneth Muusikus, Meelis Luud</v>
      </c>
      <c r="O12" s="1323">
        <v>13</v>
      </c>
      <c r="P12" s="1324" t="s">
        <v>211</v>
      </c>
      <c r="Q12" s="1325">
        <v>4</v>
      </c>
      <c r="R12" s="1315" t="str">
        <f>B23</f>
        <v>Andrei Grintšak, Jaan Saar</v>
      </c>
      <c r="S12" s="1323">
        <v>13</v>
      </c>
      <c r="T12" s="1324" t="s">
        <v>211</v>
      </c>
      <c r="U12" s="1325">
        <v>5</v>
      </c>
      <c r="V12" s="1315" t="str">
        <f>B15</f>
        <v>Peep Peenema, Urmas Jõeäär</v>
      </c>
      <c r="W12" s="1323"/>
      <c r="X12" s="1324" t="s">
        <v>211</v>
      </c>
      <c r="Y12" s="1325"/>
      <c r="Z12" s="1315"/>
      <c r="AA12" s="1335">
        <f>IF(C12&gt;E12,J$3,IF(C12&lt;E12,J$5,IF(ISNUMBER(C12),J$4,0)))+IF(G12&gt;I12,J$3,IF(G12&lt;I12,J$5,IF(ISNUMBER(G12),J$4,0)))+IF(K12&gt;M12,J$3,IF(K12&lt;M12,J$5,IF(ISNUMBER(K12),J$4,0)))+IF(O12&gt;Q12,J$3,IF(O12&lt;Q12,J$5,IF(ISNUMBER(O12),J$4,0)))+IF(S12&gt;U12,J$3,IF(S12&lt;U12,J$5,IF(ISNUMBER(S12),J$4,0)))+IF(W12&gt;Y12,J$3,IF(W12&lt;Y12,J$5,IF(ISNUMBER(W12),J$4,0)))</f>
        <v>3</v>
      </c>
      <c r="AB12" s="1331"/>
      <c r="AC12" s="1323">
        <f>C12+G12+K12+O12+S12+W12</f>
        <v>54</v>
      </c>
      <c r="AD12" s="1324" t="s">
        <v>211</v>
      </c>
      <c r="AE12" s="1326">
        <f>E12+I12+M12+Q12+U12+Y12</f>
        <v>42</v>
      </c>
      <c r="AF12" s="1327">
        <f>AC14-AE14</f>
        <v>4</v>
      </c>
      <c r="AG12" s="663"/>
      <c r="AH12" s="499">
        <f t="shared" si="9"/>
        <v>154</v>
      </c>
      <c r="AI12" s="605" t="str">
        <f>IFERROR(LEFT($B14,(FIND(",",$B14,1)-1)),"")</f>
        <v>Jaan Sepp</v>
      </c>
      <c r="AJ12" s="604">
        <f>IFERROR(INDEX(V!$N:$N,MATCH(AI12,V!$I:$I,0)),"")</f>
        <v>98</v>
      </c>
      <c r="AK12" s="605" t="str">
        <f>IFERROR(MID($B14,FIND(", ",$B14)+2,256),"")</f>
        <v>Oskar Sepp</v>
      </c>
      <c r="AL12" s="604">
        <f>IFERROR(INDEX(V!$N:$N,MATCH(AK12,V!$I:$I,0)),"")</f>
        <v>56</v>
      </c>
      <c r="AM12" s="603" t="str">
        <f>IFERROR(MID($B14,FIND("^",SUBSTITUTE($B14,", ","^",1))+2,FIND("^",SUBSTITUTE($B14,", ","^",2))-FIND("^",SUBSTITUTE($B14,", ","^",1))-2),"")</f>
        <v/>
      </c>
      <c r="AN12" s="604" t="str">
        <f>IFERROR(INDEX(V!$N:$N,MATCH(AM12,V!$I:$I,0)),"")</f>
        <v/>
      </c>
      <c r="AO12" s="603" t="str">
        <f>IFERROR(MID($B14,FIND(", ",$B14,FIND(", ",$B14,FIND(", ",$B14))+1)+2,700),"")</f>
        <v/>
      </c>
      <c r="AP12" s="604" t="str">
        <f>IFERROR(INDEX(V!$N:$N,MATCH(AO12,V!$I:$I,0)),"")</f>
        <v/>
      </c>
    </row>
    <row r="13" spans="1:42" ht="12.75" customHeight="1" x14ac:dyDescent="0.2">
      <c r="A13" s="1356">
        <v>5</v>
      </c>
      <c r="B13" s="1328" t="s">
        <v>491</v>
      </c>
      <c r="C13" s="1323">
        <v>13</v>
      </c>
      <c r="D13" s="1324" t="s">
        <v>211</v>
      </c>
      <c r="E13" s="1325">
        <v>11</v>
      </c>
      <c r="F13" s="1315" t="str">
        <f>B15</f>
        <v>Peep Peenema, Urmas Jõeäär</v>
      </c>
      <c r="G13" s="1323">
        <v>13</v>
      </c>
      <c r="H13" s="1324" t="s">
        <v>211</v>
      </c>
      <c r="I13" s="1325">
        <v>2</v>
      </c>
      <c r="J13" s="1315" t="str">
        <f>B18</f>
        <v>Mait Metsla, Vladimir Ogneštšikov</v>
      </c>
      <c r="K13" s="1323">
        <v>7</v>
      </c>
      <c r="L13" s="1324" t="s">
        <v>211</v>
      </c>
      <c r="M13" s="1325">
        <v>13</v>
      </c>
      <c r="N13" s="1315" t="str">
        <f>B11</f>
        <v>Oksana Sažina, Oleg Rõndenkov</v>
      </c>
      <c r="O13" s="1323">
        <v>7</v>
      </c>
      <c r="P13" s="1324" t="s">
        <v>211</v>
      </c>
      <c r="Q13" s="1325">
        <v>13</v>
      </c>
      <c r="R13" s="1315" t="str">
        <f>B10</f>
        <v>Kenneth Muusikus, Meelis Luud</v>
      </c>
      <c r="S13" s="1323">
        <v>13</v>
      </c>
      <c r="T13" s="1324" t="s">
        <v>211</v>
      </c>
      <c r="U13" s="1325">
        <v>11</v>
      </c>
      <c r="V13" s="1315" t="str">
        <f>B16</f>
        <v>Anna Romanenko, Tarmo Müür</v>
      </c>
      <c r="W13" s="1323"/>
      <c r="X13" s="1324" t="s">
        <v>211</v>
      </c>
      <c r="Y13" s="1325"/>
      <c r="Z13" s="1315"/>
      <c r="AA13" s="1335">
        <f t="shared" si="0"/>
        <v>3</v>
      </c>
      <c r="AB13" s="1331"/>
      <c r="AC13" s="1323">
        <f t="shared" si="1"/>
        <v>53</v>
      </c>
      <c r="AD13" s="1324" t="s">
        <v>211</v>
      </c>
      <c r="AE13" s="1326">
        <f t="shared" si="2"/>
        <v>50</v>
      </c>
      <c r="AF13" s="1327">
        <f t="shared" si="3"/>
        <v>3</v>
      </c>
      <c r="AG13" s="663"/>
      <c r="AH13" s="499">
        <f t="shared" si="9"/>
        <v>57</v>
      </c>
      <c r="AI13" s="605" t="str">
        <f t="shared" si="5"/>
        <v>Andres Veski</v>
      </c>
      <c r="AJ13" s="604">
        <f>IFERROR(INDEX(V!$N:$N,MATCH(AI13,V!$I:$I,0)),"")</f>
        <v>29</v>
      </c>
      <c r="AK13" s="605" t="str">
        <f t="shared" si="6"/>
        <v>Svetlana Veski</v>
      </c>
      <c r="AL13" s="604">
        <f>IFERROR(INDEX(V!$N:$N,MATCH(AK13,V!$I:$I,0)),"")</f>
        <v>28</v>
      </c>
      <c r="AM13" s="603" t="str">
        <f t="shared" si="7"/>
        <v/>
      </c>
      <c r="AN13" s="604" t="str">
        <f>IFERROR(INDEX(V!$N:$N,MATCH(AM13,V!$I:$I,0)),"")</f>
        <v/>
      </c>
      <c r="AO13" s="603" t="str">
        <f t="shared" si="8"/>
        <v/>
      </c>
      <c r="AP13" s="604" t="str">
        <f>IFERROR(INDEX(V!$N:$N,MATCH(AO13,V!$I:$I,0)),"")</f>
        <v/>
      </c>
    </row>
    <row r="14" spans="1:42" ht="12.75" customHeight="1" x14ac:dyDescent="0.2">
      <c r="A14" s="1356">
        <v>5</v>
      </c>
      <c r="B14" s="1328" t="s">
        <v>440</v>
      </c>
      <c r="C14" s="1323">
        <v>13</v>
      </c>
      <c r="D14" s="1324" t="s">
        <v>211</v>
      </c>
      <c r="E14" s="1325">
        <v>9</v>
      </c>
      <c r="F14" s="1315" t="str">
        <f>B20</f>
        <v>Karoliina Sild, Tõnis Neiland</v>
      </c>
      <c r="G14" s="1323">
        <v>13</v>
      </c>
      <c r="H14" s="1324" t="s">
        <v>211</v>
      </c>
      <c r="I14" s="1325">
        <v>7</v>
      </c>
      <c r="J14" s="1315" t="str">
        <f>B8</f>
        <v>Elmo Lageda, Tõnu Piik</v>
      </c>
      <c r="K14" s="1323">
        <v>4</v>
      </c>
      <c r="L14" s="1324" t="s">
        <v>211</v>
      </c>
      <c r="M14" s="1325">
        <v>13</v>
      </c>
      <c r="N14" s="1315" t="str">
        <f>B9</f>
        <v>Ivar Viljaste, Sirje Viljaste</v>
      </c>
      <c r="O14" s="1323">
        <v>13</v>
      </c>
      <c r="P14" s="1324" t="s">
        <v>211</v>
      </c>
      <c r="Q14" s="1325">
        <v>8</v>
      </c>
      <c r="R14" s="1315" t="str">
        <f>B16</f>
        <v>Anna Romanenko, Tarmo Müür</v>
      </c>
      <c r="S14" s="1323">
        <v>11</v>
      </c>
      <c r="T14" s="1324" t="s">
        <v>211</v>
      </c>
      <c r="U14" s="1325">
        <v>13</v>
      </c>
      <c r="V14" s="1315" t="str">
        <f>B11</f>
        <v>Oksana Sažina, Oleg Rõndenkov</v>
      </c>
      <c r="W14" s="1323"/>
      <c r="X14" s="1324" t="s">
        <v>211</v>
      </c>
      <c r="Y14" s="1325"/>
      <c r="Z14" s="1315"/>
      <c r="AA14" s="1335">
        <f>IF(C14&gt;E14,J$3,IF(C14&lt;E14,J$5,IF(ISNUMBER(C14),J$4,0)))+IF(G14&gt;I14,J$3,IF(G14&lt;I14,J$5,IF(ISNUMBER(G14),J$4,0)))+IF(K14&gt;M14,J$3,IF(K14&lt;M14,J$5,IF(ISNUMBER(K14),J$4,0)))+IF(O14&gt;Q14,J$3,IF(O14&lt;Q14,J$5,IF(ISNUMBER(O14),J$4,0)))+IF(S14&gt;U14,J$3,IF(S14&lt;U14,J$5,IF(ISNUMBER(S14),J$4,0)))+IF(W14&gt;Y14,J$3,IF(W14&lt;Y14,J$5,IF(ISNUMBER(W14),J$4,0)))</f>
        <v>3</v>
      </c>
      <c r="AB14" s="1331"/>
      <c r="AC14" s="1323">
        <f>C14+G14+K14+O14+S14+W14</f>
        <v>54</v>
      </c>
      <c r="AD14" s="1324" t="s">
        <v>211</v>
      </c>
      <c r="AE14" s="1326">
        <f>E14+I14+M14+Q14+U14+Y14</f>
        <v>50</v>
      </c>
      <c r="AF14" s="1327">
        <f>AC12-AE12</f>
        <v>12</v>
      </c>
      <c r="AG14" s="663"/>
      <c r="AH14" s="499">
        <f t="shared" si="9"/>
        <v>47</v>
      </c>
      <c r="AI14" s="605" t="str">
        <f>IFERROR(LEFT($B12,(FIND(",",$B12,1)-1)),"")</f>
        <v>Aigi Orro</v>
      </c>
      <c r="AJ14" s="604">
        <f>IFERROR(INDEX(V!$N:$N,MATCH(AI14,V!$I:$I,0)),"")</f>
        <v>23.5</v>
      </c>
      <c r="AK14" s="605" t="str">
        <f>IFERROR(MID($B12,FIND(", ",$B12)+2,256),"")</f>
        <v>Kalle Orro</v>
      </c>
      <c r="AL14" s="604">
        <f>IFERROR(INDEX(V!$N:$N,MATCH(AK14,V!$I:$I,0)),"")</f>
        <v>23.5</v>
      </c>
      <c r="AM14" s="603" t="str">
        <f>IFERROR(MID($B12,FIND("^",SUBSTITUTE($B12,", ","^",1))+2,FIND("^",SUBSTITUTE($B12,", ","^",2))-FIND("^",SUBSTITUTE($B12,", ","^",1))-2),"")</f>
        <v/>
      </c>
      <c r="AN14" s="604" t="str">
        <f>IFERROR(INDEX(V!$N:$N,MATCH(AM14,V!$I:$I,0)),"")</f>
        <v/>
      </c>
      <c r="AO14" s="603" t="str">
        <f>IFERROR(MID($B12,FIND(", ",$B12,FIND(", ",$B12,FIND(", ",$B12))+1)+2,700),"")</f>
        <v/>
      </c>
      <c r="AP14" s="604" t="str">
        <f>IFERROR(INDEX(V!$N:$N,MATCH(AO14,V!$I:$I,0)),"")</f>
        <v/>
      </c>
    </row>
    <row r="15" spans="1:42" ht="12.75" customHeight="1" x14ac:dyDescent="0.2">
      <c r="A15" s="1319">
        <v>8</v>
      </c>
      <c r="B15" s="1328" t="s">
        <v>759</v>
      </c>
      <c r="C15" s="1323">
        <v>11</v>
      </c>
      <c r="D15" s="1324" t="s">
        <v>211</v>
      </c>
      <c r="E15" s="1325">
        <v>13</v>
      </c>
      <c r="F15" s="1315" t="str">
        <f>B13</f>
        <v>Andres Veski, Svetlana Veski</v>
      </c>
      <c r="G15" s="1323">
        <v>6</v>
      </c>
      <c r="H15" s="1324" t="s">
        <v>211</v>
      </c>
      <c r="I15" s="1325">
        <v>13</v>
      </c>
      <c r="J15" s="1315" t="str">
        <f>B19</f>
        <v>Margus Vasser, Vello Vasser</v>
      </c>
      <c r="K15" s="1323">
        <v>13</v>
      </c>
      <c r="L15" s="1324" t="s">
        <v>211</v>
      </c>
      <c r="M15" s="1325">
        <v>3</v>
      </c>
      <c r="N15" s="1315" t="str">
        <f>B20</f>
        <v>Karoliina Sild, Tõnis Neiland</v>
      </c>
      <c r="O15" s="1323">
        <v>13</v>
      </c>
      <c r="P15" s="1324" t="s">
        <v>211</v>
      </c>
      <c r="Q15" s="1325">
        <v>8</v>
      </c>
      <c r="R15" s="1315" t="str">
        <f>B17</f>
        <v>Enn Tokman, Tarmo Bombe</v>
      </c>
      <c r="S15" s="1323">
        <v>5</v>
      </c>
      <c r="T15" s="1324" t="s">
        <v>211</v>
      </c>
      <c r="U15" s="1325">
        <v>13</v>
      </c>
      <c r="V15" s="1315" t="str">
        <f>B12</f>
        <v>Aigi Orro, Kalle Orro</v>
      </c>
      <c r="W15" s="1323"/>
      <c r="X15" s="1324" t="s">
        <v>211</v>
      </c>
      <c r="Y15" s="1325"/>
      <c r="Z15" s="1315"/>
      <c r="AA15" s="1330">
        <f t="shared" si="0"/>
        <v>2</v>
      </c>
      <c r="AB15" s="1331"/>
      <c r="AC15" s="1323">
        <f t="shared" si="1"/>
        <v>48</v>
      </c>
      <c r="AD15" s="1324" t="s">
        <v>211</v>
      </c>
      <c r="AE15" s="1326">
        <f t="shared" si="2"/>
        <v>50</v>
      </c>
      <c r="AF15" s="1327">
        <f t="shared" si="3"/>
        <v>-2</v>
      </c>
      <c r="AG15" s="663"/>
      <c r="AH15" s="499">
        <f t="shared" si="9"/>
        <v>92</v>
      </c>
      <c r="AI15" s="605" t="str">
        <f t="shared" si="5"/>
        <v>Peep Peenema</v>
      </c>
      <c r="AJ15" s="604">
        <f>IFERROR(INDEX(V!$N:$N,MATCH(AI15,V!$I:$I,0)),"")</f>
        <v>24.5</v>
      </c>
      <c r="AK15" s="605" t="str">
        <f t="shared" si="6"/>
        <v>Urmas Jõeäär</v>
      </c>
      <c r="AL15" s="604">
        <f>IFERROR(INDEX(V!$N:$N,MATCH(AK15,V!$I:$I,0)),"")</f>
        <v>67.5</v>
      </c>
      <c r="AM15" s="603" t="str">
        <f t="shared" si="7"/>
        <v/>
      </c>
      <c r="AN15" s="604" t="str">
        <f>IFERROR(INDEX(V!$N:$N,MATCH(AM15,V!$I:$I,0)),"")</f>
        <v/>
      </c>
      <c r="AO15" s="603" t="str">
        <f t="shared" si="8"/>
        <v/>
      </c>
      <c r="AP15" s="604" t="str">
        <f>IFERROR(INDEX(V!$N:$N,MATCH(AO15,V!$I:$I,0)),"")</f>
        <v/>
      </c>
    </row>
    <row r="16" spans="1:42" ht="12.75" customHeight="1" x14ac:dyDescent="0.2">
      <c r="A16" s="1319">
        <v>9</v>
      </c>
      <c r="B16" s="1328" t="s">
        <v>489</v>
      </c>
      <c r="C16" s="1323">
        <v>6</v>
      </c>
      <c r="D16" s="1324" t="s">
        <v>211</v>
      </c>
      <c r="E16" s="1325">
        <v>13</v>
      </c>
      <c r="F16" s="1315" t="str">
        <f>B8</f>
        <v>Elmo Lageda, Tõnu Piik</v>
      </c>
      <c r="G16" s="1323">
        <v>13</v>
      </c>
      <c r="H16" s="1324" t="s">
        <v>211</v>
      </c>
      <c r="I16" s="1325">
        <v>9</v>
      </c>
      <c r="J16" s="1315" t="str">
        <f>B20</f>
        <v>Karoliina Sild, Tõnis Neiland</v>
      </c>
      <c r="K16" s="1323">
        <v>13</v>
      </c>
      <c r="L16" s="1324" t="s">
        <v>211</v>
      </c>
      <c r="M16" s="1325">
        <v>12</v>
      </c>
      <c r="N16" s="1315" t="str">
        <f>B23</f>
        <v>Andrei Grintšak, Jaan Saar</v>
      </c>
      <c r="O16" s="1323">
        <v>8</v>
      </c>
      <c r="P16" s="1324" t="s">
        <v>211</v>
      </c>
      <c r="Q16" s="1325">
        <v>13</v>
      </c>
      <c r="R16" s="1315" t="str">
        <f>B14</f>
        <v>Jaan Sepp, Oskar Sepp</v>
      </c>
      <c r="S16" s="1323">
        <v>11</v>
      </c>
      <c r="T16" s="1324" t="s">
        <v>211</v>
      </c>
      <c r="U16" s="1325">
        <v>13</v>
      </c>
      <c r="V16" s="1315" t="str">
        <f>B13</f>
        <v>Andres Veski, Svetlana Veski</v>
      </c>
      <c r="W16" s="1323"/>
      <c r="X16" s="1324" t="s">
        <v>211</v>
      </c>
      <c r="Y16" s="1325"/>
      <c r="Z16" s="1315"/>
      <c r="AA16" s="1330">
        <f t="shared" si="0"/>
        <v>2</v>
      </c>
      <c r="AB16" s="1331"/>
      <c r="AC16" s="1323">
        <f t="shared" si="1"/>
        <v>51</v>
      </c>
      <c r="AD16" s="1324" t="s">
        <v>211</v>
      </c>
      <c r="AE16" s="1326">
        <f t="shared" si="2"/>
        <v>60</v>
      </c>
      <c r="AF16" s="1327">
        <f t="shared" si="3"/>
        <v>-9</v>
      </c>
      <c r="AG16" s="663"/>
      <c r="AH16" s="499">
        <f t="shared" si="9"/>
        <v>31</v>
      </c>
      <c r="AI16" s="605" t="str">
        <f t="shared" si="5"/>
        <v>Anna Romanenko</v>
      </c>
      <c r="AJ16" s="604">
        <f>IFERROR(INDEX(V!$N:$N,MATCH(AI16,V!$I:$I,0)),"")</f>
        <v>15.5</v>
      </c>
      <c r="AK16" s="605" t="str">
        <f t="shared" si="6"/>
        <v>Tarmo Müür</v>
      </c>
      <c r="AL16" s="604">
        <f>IFERROR(INDEX(V!$N:$N,MATCH(AK16,V!$I:$I,0)),"")</f>
        <v>15.5</v>
      </c>
      <c r="AM16" s="603" t="str">
        <f t="shared" si="7"/>
        <v/>
      </c>
      <c r="AN16" s="604" t="str">
        <f>IFERROR(INDEX(V!$N:$N,MATCH(AM16,V!$I:$I,0)),"")</f>
        <v/>
      </c>
      <c r="AO16" s="603" t="str">
        <f t="shared" si="8"/>
        <v/>
      </c>
      <c r="AP16" s="604" t="str">
        <f>IFERROR(INDEX(V!$N:$N,MATCH(AO16,V!$I:$I,0)),"")</f>
        <v/>
      </c>
    </row>
    <row r="17" spans="1:42" ht="12.75" customHeight="1" x14ac:dyDescent="0.2">
      <c r="A17" s="1319">
        <v>10</v>
      </c>
      <c r="B17" s="1322" t="s">
        <v>39</v>
      </c>
      <c r="C17" s="1323">
        <v>5</v>
      </c>
      <c r="D17" s="1324" t="s">
        <v>211</v>
      </c>
      <c r="E17" s="1325">
        <v>13</v>
      </c>
      <c r="F17" s="1315" t="str">
        <f>B22</f>
        <v>Karla Purgats, Lemmit Toomra</v>
      </c>
      <c r="G17" s="1323">
        <v>7</v>
      </c>
      <c r="H17" s="1324" t="s">
        <v>211</v>
      </c>
      <c r="I17" s="1325">
        <v>13</v>
      </c>
      <c r="J17" s="1315" t="str">
        <f>B12</f>
        <v>Aigi Orro, Kalle Orro</v>
      </c>
      <c r="K17" s="1323">
        <v>13</v>
      </c>
      <c r="L17" s="1324" t="s">
        <v>211</v>
      </c>
      <c r="M17" s="1325">
        <v>12</v>
      </c>
      <c r="N17" s="1315" t="str">
        <f>B21</f>
        <v>Brigitta Neiland, Einar Juhkam, Johannes Neiland</v>
      </c>
      <c r="O17" s="1323">
        <v>8</v>
      </c>
      <c r="P17" s="1324" t="s">
        <v>211</v>
      </c>
      <c r="Q17" s="1325">
        <v>13</v>
      </c>
      <c r="R17" s="1315" t="str">
        <f>B15</f>
        <v>Peep Peenema, Urmas Jõeäär</v>
      </c>
      <c r="S17" s="1323">
        <v>13</v>
      </c>
      <c r="T17" s="1324" t="s">
        <v>211</v>
      </c>
      <c r="U17" s="1325">
        <v>12</v>
      </c>
      <c r="V17" s="1315" t="str">
        <f>B18</f>
        <v>Mait Metsla, Vladimir Ogneštšikov</v>
      </c>
      <c r="W17" s="1323"/>
      <c r="X17" s="1324" t="s">
        <v>211</v>
      </c>
      <c r="Y17" s="1325"/>
      <c r="Z17" s="1315"/>
      <c r="AA17" s="1330">
        <f t="shared" si="0"/>
        <v>2</v>
      </c>
      <c r="AB17" s="1331"/>
      <c r="AC17" s="1323">
        <f t="shared" si="1"/>
        <v>46</v>
      </c>
      <c r="AD17" s="1324" t="s">
        <v>211</v>
      </c>
      <c r="AE17" s="1326">
        <f t="shared" si="2"/>
        <v>63</v>
      </c>
      <c r="AF17" s="1327">
        <f t="shared" si="3"/>
        <v>-17</v>
      </c>
      <c r="AG17" s="663"/>
      <c r="AH17" s="499">
        <f t="shared" si="9"/>
        <v>65.5</v>
      </c>
      <c r="AI17" s="605" t="str">
        <f t="shared" si="5"/>
        <v>Enn Tokman</v>
      </c>
      <c r="AJ17" s="604">
        <f>IFERROR(INDEX(V!$N:$N,MATCH(AI17,V!$I:$I,0)),"")</f>
        <v>39.5</v>
      </c>
      <c r="AK17" s="605" t="str">
        <f t="shared" si="6"/>
        <v>Tarmo Bombe</v>
      </c>
      <c r="AL17" s="604">
        <f>IFERROR(INDEX(V!$N:$N,MATCH(AK17,V!$I:$I,0)),"")</f>
        <v>26</v>
      </c>
      <c r="AM17" s="603" t="str">
        <f t="shared" si="7"/>
        <v/>
      </c>
      <c r="AN17" s="604" t="str">
        <f>IFERROR(INDEX(V!$N:$N,MATCH(AM17,V!$I:$I,0)),"")</f>
        <v/>
      </c>
      <c r="AO17" s="603" t="str">
        <f t="shared" si="8"/>
        <v/>
      </c>
      <c r="AP17" s="604" t="str">
        <f>IFERROR(INDEX(V!$N:$N,MATCH(AO17,V!$I:$I,0)),"")</f>
        <v/>
      </c>
    </row>
    <row r="18" spans="1:42" ht="12.75" customHeight="1" x14ac:dyDescent="0.2">
      <c r="A18" s="1319">
        <v>11</v>
      </c>
      <c r="B18" s="1329" t="s">
        <v>597</v>
      </c>
      <c r="C18" s="1323">
        <v>13</v>
      </c>
      <c r="D18" s="1324" t="s">
        <v>211</v>
      </c>
      <c r="E18" s="1325">
        <v>12</v>
      </c>
      <c r="F18" s="1315" t="str">
        <f>B19</f>
        <v>Margus Vasser, Vello Vasser</v>
      </c>
      <c r="G18" s="1323">
        <v>2</v>
      </c>
      <c r="H18" s="1324" t="s">
        <v>211</v>
      </c>
      <c r="I18" s="1325">
        <v>13</v>
      </c>
      <c r="J18" s="1315" t="str">
        <f>B13</f>
        <v>Andres Veski, Svetlana Veski</v>
      </c>
      <c r="K18" s="1323">
        <v>9</v>
      </c>
      <c r="L18" s="1324" t="s">
        <v>211</v>
      </c>
      <c r="M18" s="1325">
        <v>13</v>
      </c>
      <c r="N18" s="1315" t="str">
        <f>B8</f>
        <v>Elmo Lageda, Tõnu Piik</v>
      </c>
      <c r="O18" s="1323">
        <v>13</v>
      </c>
      <c r="P18" s="1324" t="s">
        <v>211</v>
      </c>
      <c r="Q18" s="1325">
        <v>12</v>
      </c>
      <c r="R18" s="1315" t="str">
        <f>B22</f>
        <v>Karla Purgats, Lemmit Toomra</v>
      </c>
      <c r="S18" s="1323">
        <v>12</v>
      </c>
      <c r="T18" s="1324" t="s">
        <v>211</v>
      </c>
      <c r="U18" s="1325">
        <v>13</v>
      </c>
      <c r="V18" s="1315" t="str">
        <f>B17</f>
        <v>Enn Tokman, Tarmo Bombe</v>
      </c>
      <c r="W18" s="1323"/>
      <c r="X18" s="1324" t="s">
        <v>211</v>
      </c>
      <c r="Y18" s="1325"/>
      <c r="Z18" s="1315"/>
      <c r="AA18" s="1330">
        <f t="shared" si="0"/>
        <v>2</v>
      </c>
      <c r="AB18" s="1331"/>
      <c r="AC18" s="1323">
        <f t="shared" si="1"/>
        <v>49</v>
      </c>
      <c r="AD18" s="1324" t="s">
        <v>211</v>
      </c>
      <c r="AE18" s="1326">
        <f t="shared" si="2"/>
        <v>63</v>
      </c>
      <c r="AF18" s="1327">
        <f t="shared" si="3"/>
        <v>-14</v>
      </c>
      <c r="AG18" s="663"/>
      <c r="AH18" s="499">
        <f t="shared" si="9"/>
        <v>137</v>
      </c>
      <c r="AI18" s="605" t="str">
        <f t="shared" si="5"/>
        <v>Mait Metsla</v>
      </c>
      <c r="AJ18" s="604">
        <f>IFERROR(INDEX(V!$N:$N,MATCH(AI18,V!$I:$I,0)),"")</f>
        <v>89</v>
      </c>
      <c r="AK18" s="605" t="str">
        <f t="shared" si="6"/>
        <v>Vladimir Ogneštšikov</v>
      </c>
      <c r="AL18" s="604">
        <f>IFERROR(INDEX(V!$N:$N,MATCH(AK18,V!$I:$I,0)),"")</f>
        <v>48</v>
      </c>
      <c r="AM18" s="603" t="str">
        <f t="shared" si="7"/>
        <v/>
      </c>
      <c r="AN18" s="604" t="str">
        <f>IFERROR(INDEX(V!$N:$N,MATCH(AM18,V!$I:$I,0)),"")</f>
        <v/>
      </c>
      <c r="AO18" s="603" t="str">
        <f t="shared" si="8"/>
        <v/>
      </c>
      <c r="AP18" s="604" t="str">
        <f>IFERROR(INDEX(V!$N:$N,MATCH(AO18,V!$I:$I,0)),"")</f>
        <v/>
      </c>
    </row>
    <row r="19" spans="1:42" ht="12.75" customHeight="1" x14ac:dyDescent="0.2">
      <c r="A19" s="1319">
        <v>12</v>
      </c>
      <c r="B19" s="1329" t="s">
        <v>596</v>
      </c>
      <c r="C19" s="1323">
        <v>12</v>
      </c>
      <c r="D19" s="1324" t="s">
        <v>211</v>
      </c>
      <c r="E19" s="1325">
        <v>13</v>
      </c>
      <c r="F19" s="1315" t="str">
        <f>B18</f>
        <v>Mait Metsla, Vladimir Ogneštšikov</v>
      </c>
      <c r="G19" s="1323">
        <v>13</v>
      </c>
      <c r="H19" s="1324" t="s">
        <v>211</v>
      </c>
      <c r="I19" s="1325">
        <v>6</v>
      </c>
      <c r="J19" s="1315" t="str">
        <f>B15</f>
        <v>Peep Peenema, Urmas Jõeäär</v>
      </c>
      <c r="K19" s="1323">
        <v>13</v>
      </c>
      <c r="L19" s="1324" t="s">
        <v>211</v>
      </c>
      <c r="M19" s="1325">
        <v>10</v>
      </c>
      <c r="N19" s="1315" t="str">
        <f>B22</f>
        <v>Karla Purgats, Lemmit Toomra</v>
      </c>
      <c r="O19" s="1323">
        <v>8</v>
      </c>
      <c r="P19" s="1324" t="s">
        <v>211</v>
      </c>
      <c r="Q19" s="1325">
        <v>13</v>
      </c>
      <c r="R19" s="1315" t="str">
        <f>B8</f>
        <v>Elmo Lageda, Tõnu Piik</v>
      </c>
      <c r="S19" s="1323">
        <v>1</v>
      </c>
      <c r="T19" s="1324" t="s">
        <v>211</v>
      </c>
      <c r="U19" s="1325">
        <v>13</v>
      </c>
      <c r="V19" s="1315" t="str">
        <f>B10</f>
        <v>Kenneth Muusikus, Meelis Luud</v>
      </c>
      <c r="W19" s="1323"/>
      <c r="X19" s="1324" t="s">
        <v>211</v>
      </c>
      <c r="Y19" s="1325"/>
      <c r="Z19" s="1315"/>
      <c r="AA19" s="1330">
        <f t="shared" si="0"/>
        <v>2</v>
      </c>
      <c r="AB19" s="1331"/>
      <c r="AC19" s="1323">
        <f t="shared" si="1"/>
        <v>47</v>
      </c>
      <c r="AD19" s="1324" t="s">
        <v>211</v>
      </c>
      <c r="AE19" s="1326">
        <f t="shared" si="2"/>
        <v>55</v>
      </c>
      <c r="AF19" s="1327">
        <f t="shared" si="3"/>
        <v>-8</v>
      </c>
      <c r="AG19" s="663"/>
      <c r="AH19" s="499">
        <f t="shared" ref="AH19:AH23" si="10">SUM(AJ19:AP19)</f>
        <v>10</v>
      </c>
      <c r="AI19" s="605" t="str">
        <f t="shared" si="5"/>
        <v>Margus Vasser</v>
      </c>
      <c r="AJ19" s="604">
        <f>IFERROR(INDEX(V!$N:$N,MATCH(AI19,V!$I:$I,0)),"")</f>
        <v>5</v>
      </c>
      <c r="AK19" s="605" t="str">
        <f t="shared" si="6"/>
        <v>Vello Vasser</v>
      </c>
      <c r="AL19" s="604">
        <f>IFERROR(INDEX(V!$N:$N,MATCH(AK19,V!$I:$I,0)),"")</f>
        <v>5</v>
      </c>
      <c r="AM19" s="603" t="str">
        <f t="shared" si="7"/>
        <v/>
      </c>
      <c r="AN19" s="604" t="str">
        <f>IFERROR(INDEX(V!$N:$N,MATCH(AM19,V!$I:$I,0)),"")</f>
        <v/>
      </c>
      <c r="AO19" s="603" t="str">
        <f t="shared" si="8"/>
        <v/>
      </c>
      <c r="AP19" s="604" t="str">
        <f>IFERROR(INDEX(V!$N:$N,MATCH(AO19,V!$I:$I,0)),"")</f>
        <v/>
      </c>
    </row>
    <row r="20" spans="1:42" ht="12.75" customHeight="1" x14ac:dyDescent="0.2">
      <c r="A20" s="1319">
        <v>13</v>
      </c>
      <c r="B20" s="1329" t="s">
        <v>607</v>
      </c>
      <c r="C20" s="1323">
        <v>9</v>
      </c>
      <c r="D20" s="1324" t="s">
        <v>211</v>
      </c>
      <c r="E20" s="1325">
        <v>13</v>
      </c>
      <c r="F20" s="1315" t="str">
        <f>B14</f>
        <v>Jaan Sepp, Oskar Sepp</v>
      </c>
      <c r="G20" s="1323">
        <v>9</v>
      </c>
      <c r="H20" s="1324" t="s">
        <v>211</v>
      </c>
      <c r="I20" s="1325">
        <v>13</v>
      </c>
      <c r="J20" s="1315" t="str">
        <f>B16</f>
        <v>Anna Romanenko, Tarmo Müür</v>
      </c>
      <c r="K20" s="1323">
        <v>3</v>
      </c>
      <c r="L20" s="1324" t="s">
        <v>211</v>
      </c>
      <c r="M20" s="1325">
        <v>13</v>
      </c>
      <c r="N20" s="1315" t="str">
        <f>B15</f>
        <v>Peep Peenema, Urmas Jõeäär</v>
      </c>
      <c r="O20" s="1323">
        <v>13</v>
      </c>
      <c r="P20" s="1324" t="s">
        <v>211</v>
      </c>
      <c r="Q20" s="1325">
        <v>1</v>
      </c>
      <c r="R20" s="1315" t="str">
        <f>B21</f>
        <v>Brigitta Neiland, Einar Juhkam, Johannes Neiland</v>
      </c>
      <c r="S20" s="1323">
        <v>13</v>
      </c>
      <c r="T20" s="1324" t="s">
        <v>211</v>
      </c>
      <c r="U20" s="1325">
        <v>11</v>
      </c>
      <c r="V20" s="1315" t="str">
        <f>B22</f>
        <v>Karla Purgats, Lemmit Toomra</v>
      </c>
      <c r="W20" s="1323"/>
      <c r="X20" s="1324" t="s">
        <v>211</v>
      </c>
      <c r="Y20" s="1325"/>
      <c r="Z20" s="1315"/>
      <c r="AA20" s="1330">
        <f t="shared" si="0"/>
        <v>2</v>
      </c>
      <c r="AB20" s="1331"/>
      <c r="AC20" s="1323">
        <f t="shared" si="1"/>
        <v>47</v>
      </c>
      <c r="AD20" s="1324" t="s">
        <v>211</v>
      </c>
      <c r="AE20" s="1326">
        <f t="shared" si="2"/>
        <v>51</v>
      </c>
      <c r="AF20" s="1327">
        <f t="shared" si="3"/>
        <v>-4</v>
      </c>
      <c r="AG20" s="663"/>
      <c r="AH20" s="499">
        <f t="shared" si="10"/>
        <v>8</v>
      </c>
      <c r="AI20" s="605" t="str">
        <f t="shared" si="5"/>
        <v>Karoliina Sild</v>
      </c>
      <c r="AJ20" s="604">
        <f>IFERROR(INDEX(V!$N:$N,MATCH(AI20,V!$I:$I,0)),"")</f>
        <v>4</v>
      </c>
      <c r="AK20" s="605" t="str">
        <f t="shared" si="6"/>
        <v>Tõnis Neiland</v>
      </c>
      <c r="AL20" s="604">
        <f>IFERROR(INDEX(V!$N:$N,MATCH(AK20,V!$I:$I,0)),"")</f>
        <v>4</v>
      </c>
      <c r="AM20" s="603" t="str">
        <f t="shared" si="7"/>
        <v/>
      </c>
      <c r="AN20" s="604" t="str">
        <f>IFERROR(INDEX(V!$N:$N,MATCH(AM20,V!$I:$I,0)),"")</f>
        <v/>
      </c>
      <c r="AO20" s="603" t="str">
        <f t="shared" si="8"/>
        <v/>
      </c>
      <c r="AP20" s="604" t="str">
        <f>IFERROR(INDEX(V!$N:$N,MATCH(AO20,V!$I:$I,0)),"")</f>
        <v/>
      </c>
    </row>
    <row r="21" spans="1:42" ht="12.75" customHeight="1" x14ac:dyDescent="0.2">
      <c r="A21" s="1319">
        <v>14</v>
      </c>
      <c r="B21" s="1329" t="s">
        <v>490</v>
      </c>
      <c r="C21" s="1323">
        <v>1</v>
      </c>
      <c r="D21" s="1324" t="s">
        <v>211</v>
      </c>
      <c r="E21" s="1325">
        <v>13</v>
      </c>
      <c r="F21" s="1315" t="str">
        <f>B9</f>
        <v>Ivar Viljaste, Sirje Viljaste</v>
      </c>
      <c r="G21" s="1323">
        <v>4</v>
      </c>
      <c r="H21" s="1324" t="s">
        <v>211</v>
      </c>
      <c r="I21" s="1325">
        <v>13</v>
      </c>
      <c r="J21" s="1315" t="str">
        <f>B10</f>
        <v>Kenneth Muusikus, Meelis Luud</v>
      </c>
      <c r="K21" s="1323">
        <v>12</v>
      </c>
      <c r="L21" s="1324" t="s">
        <v>211</v>
      </c>
      <c r="M21" s="1325">
        <v>13</v>
      </c>
      <c r="N21" s="1315" t="str">
        <f>B17</f>
        <v>Enn Tokman, Tarmo Bombe</v>
      </c>
      <c r="O21" s="1323">
        <v>1</v>
      </c>
      <c r="P21" s="1324" t="s">
        <v>211</v>
      </c>
      <c r="Q21" s="1325">
        <v>13</v>
      </c>
      <c r="R21" s="1315" t="str">
        <f>B20</f>
        <v>Karoliina Sild, Tõnis Neiland</v>
      </c>
      <c r="S21" s="1323">
        <v>13</v>
      </c>
      <c r="T21" s="1324" t="s">
        <v>211</v>
      </c>
      <c r="U21" s="1325">
        <v>2</v>
      </c>
      <c r="V21" s="1315" t="str">
        <f>B23</f>
        <v>Andrei Grintšak, Jaan Saar</v>
      </c>
      <c r="W21" s="1323"/>
      <c r="X21" s="1324" t="s">
        <v>211</v>
      </c>
      <c r="Y21" s="1325"/>
      <c r="Z21" s="1315"/>
      <c r="AA21" s="1335">
        <f t="shared" si="0"/>
        <v>1</v>
      </c>
      <c r="AB21" s="1331"/>
      <c r="AC21" s="1323">
        <f t="shared" si="1"/>
        <v>31</v>
      </c>
      <c r="AD21" s="1324" t="s">
        <v>211</v>
      </c>
      <c r="AE21" s="1326">
        <f t="shared" si="2"/>
        <v>54</v>
      </c>
      <c r="AF21" s="1327">
        <f t="shared" si="3"/>
        <v>-23</v>
      </c>
      <c r="AG21" s="663"/>
      <c r="AH21" s="499">
        <f t="shared" si="10"/>
        <v>115.5</v>
      </c>
      <c r="AI21" s="605" t="str">
        <f t="shared" si="5"/>
        <v>Brigitta Neiland</v>
      </c>
      <c r="AJ21" s="604">
        <f>IFERROR(INDEX(V!$N:$N,MATCH(AI21,V!$I:$I,0)),"")</f>
        <v>22.5</v>
      </c>
      <c r="AK21" s="605" t="str">
        <f t="shared" si="6"/>
        <v>Einar Juhkam, Johannes Neiland</v>
      </c>
      <c r="AL21" s="604" t="str">
        <f>IFERROR(INDEX(V!$N:$N,MATCH(AK21,V!$I:$I,0)),"")</f>
        <v/>
      </c>
      <c r="AM21" s="603" t="str">
        <f t="shared" si="7"/>
        <v>Einar Juhkam</v>
      </c>
      <c r="AN21" s="604">
        <f>IFERROR(INDEX(V!$N:$N,MATCH(AM21,V!$I:$I,0)),"")</f>
        <v>34</v>
      </c>
      <c r="AO21" s="603" t="str">
        <f t="shared" si="8"/>
        <v>Johannes Neiland</v>
      </c>
      <c r="AP21" s="604">
        <f>IFERROR(INDEX(V!$N:$N,MATCH(AO21,V!$I:$I,0)),"")</f>
        <v>59</v>
      </c>
    </row>
    <row r="22" spans="1:42" ht="12.75" customHeight="1" x14ac:dyDescent="0.2">
      <c r="A22" s="1319">
        <v>14</v>
      </c>
      <c r="B22" s="1329" t="s">
        <v>441</v>
      </c>
      <c r="C22" s="1323">
        <v>13</v>
      </c>
      <c r="D22" s="1324" t="s">
        <v>211</v>
      </c>
      <c r="E22" s="1325">
        <v>5</v>
      </c>
      <c r="F22" s="1315" t="str">
        <f>B17</f>
        <v>Enn Tokman, Tarmo Bombe</v>
      </c>
      <c r="G22" s="1323">
        <v>3</v>
      </c>
      <c r="H22" s="1324" t="s">
        <v>211</v>
      </c>
      <c r="I22" s="1325">
        <v>13</v>
      </c>
      <c r="J22" s="1315" t="str">
        <f>B11</f>
        <v>Oksana Sažina, Oleg Rõndenkov</v>
      </c>
      <c r="K22" s="1323">
        <v>10</v>
      </c>
      <c r="L22" s="1324" t="s">
        <v>211</v>
      </c>
      <c r="M22" s="1325">
        <v>13</v>
      </c>
      <c r="N22" s="1315" t="str">
        <f>B19</f>
        <v>Margus Vasser, Vello Vasser</v>
      </c>
      <c r="O22" s="1323">
        <v>12</v>
      </c>
      <c r="P22" s="1324" t="s">
        <v>211</v>
      </c>
      <c r="Q22" s="1325">
        <v>13</v>
      </c>
      <c r="R22" s="1315" t="str">
        <f>B18</f>
        <v>Mait Metsla, Vladimir Ogneštšikov</v>
      </c>
      <c r="S22" s="1323">
        <v>11</v>
      </c>
      <c r="T22" s="1324" t="s">
        <v>211</v>
      </c>
      <c r="U22" s="1325">
        <v>13</v>
      </c>
      <c r="V22" s="1315" t="str">
        <f>B20</f>
        <v>Karoliina Sild, Tõnis Neiland</v>
      </c>
      <c r="W22" s="1323"/>
      <c r="X22" s="1324" t="s">
        <v>211</v>
      </c>
      <c r="Y22" s="1325"/>
      <c r="Z22" s="1315"/>
      <c r="AA22" s="1335">
        <f t="shared" si="0"/>
        <v>1</v>
      </c>
      <c r="AB22" s="1331"/>
      <c r="AC22" s="1323">
        <f t="shared" si="1"/>
        <v>49</v>
      </c>
      <c r="AD22" s="1324" t="s">
        <v>211</v>
      </c>
      <c r="AE22" s="1326">
        <f t="shared" si="2"/>
        <v>57</v>
      </c>
      <c r="AF22" s="1327">
        <f t="shared" si="3"/>
        <v>-8</v>
      </c>
      <c r="AG22" s="663"/>
      <c r="AH22" s="499">
        <f t="shared" si="10"/>
        <v>92</v>
      </c>
      <c r="AI22" s="605" t="str">
        <f t="shared" si="5"/>
        <v>Karla Purgats</v>
      </c>
      <c r="AJ22" s="604">
        <f>IFERROR(INDEX(V!$N:$N,MATCH(AI22,V!$I:$I,0)),"")</f>
        <v>46.5</v>
      </c>
      <c r="AK22" s="605" t="str">
        <f t="shared" si="6"/>
        <v>Lemmit Toomra</v>
      </c>
      <c r="AL22" s="604">
        <f>IFERROR(INDEX(V!$N:$N,MATCH(AK22,V!$I:$I,0)),"")</f>
        <v>45.5</v>
      </c>
      <c r="AM22" s="603" t="str">
        <f t="shared" si="7"/>
        <v/>
      </c>
      <c r="AN22" s="604" t="str">
        <f>IFERROR(INDEX(V!$N:$N,MATCH(AM22,V!$I:$I,0)),"")</f>
        <v/>
      </c>
      <c r="AO22" s="603" t="str">
        <f t="shared" si="8"/>
        <v/>
      </c>
      <c r="AP22" s="604" t="str">
        <f>IFERROR(INDEX(V!$N:$N,MATCH(AO22,V!$I:$I,0)),"")</f>
        <v/>
      </c>
    </row>
    <row r="23" spans="1:42" ht="12.75" customHeight="1" x14ac:dyDescent="0.2">
      <c r="A23" s="1319">
        <v>16</v>
      </c>
      <c r="B23" s="1329" t="s">
        <v>598</v>
      </c>
      <c r="C23" s="1323">
        <v>13</v>
      </c>
      <c r="D23" s="1324" t="s">
        <v>211</v>
      </c>
      <c r="E23" s="1325">
        <v>2</v>
      </c>
      <c r="F23" s="1315" t="str">
        <f>B10</f>
        <v>Kenneth Muusikus, Meelis Luud</v>
      </c>
      <c r="G23" s="1323">
        <v>2</v>
      </c>
      <c r="H23" s="1324" t="s">
        <v>211</v>
      </c>
      <c r="I23" s="1325">
        <v>13</v>
      </c>
      <c r="J23" s="1315" t="str">
        <f>B9</f>
        <v>Ivar Viljaste, Sirje Viljaste</v>
      </c>
      <c r="K23" s="1323">
        <v>12</v>
      </c>
      <c r="L23" s="1324" t="s">
        <v>211</v>
      </c>
      <c r="M23" s="1325">
        <v>13</v>
      </c>
      <c r="N23" s="1315" t="str">
        <f>B16</f>
        <v>Anna Romanenko, Tarmo Müür</v>
      </c>
      <c r="O23" s="1323">
        <v>4</v>
      </c>
      <c r="P23" s="1324" t="s">
        <v>211</v>
      </c>
      <c r="Q23" s="1325">
        <v>13</v>
      </c>
      <c r="R23" s="1315" t="str">
        <f>B12</f>
        <v>Aigi Orro, Kalle Orro</v>
      </c>
      <c r="S23" s="1323">
        <v>2</v>
      </c>
      <c r="T23" s="1324" t="s">
        <v>211</v>
      </c>
      <c r="U23" s="1325">
        <v>13</v>
      </c>
      <c r="V23" s="1315" t="str">
        <f>B21</f>
        <v>Brigitta Neiland, Einar Juhkam, Johannes Neiland</v>
      </c>
      <c r="W23" s="1323"/>
      <c r="X23" s="1324" t="s">
        <v>211</v>
      </c>
      <c r="Y23" s="1325"/>
      <c r="Z23" s="1315"/>
      <c r="AA23" s="1335">
        <f t="shared" si="0"/>
        <v>1</v>
      </c>
      <c r="AB23" s="1331"/>
      <c r="AC23" s="1323">
        <f t="shared" si="1"/>
        <v>33</v>
      </c>
      <c r="AD23" s="1324" t="s">
        <v>211</v>
      </c>
      <c r="AE23" s="1326">
        <f t="shared" si="2"/>
        <v>54</v>
      </c>
      <c r="AF23" s="1327">
        <f t="shared" si="3"/>
        <v>-21</v>
      </c>
      <c r="AG23" s="663"/>
      <c r="AH23" s="499">
        <f t="shared" si="10"/>
        <v>47.5</v>
      </c>
      <c r="AI23" s="605" t="str">
        <f t="shared" si="5"/>
        <v>Andrei Grintšak</v>
      </c>
      <c r="AJ23" s="604">
        <f>IFERROR(INDEX(V!$N:$N,MATCH(AI23,V!$I:$I,0)),"")</f>
        <v>33.5</v>
      </c>
      <c r="AK23" s="605" t="str">
        <f t="shared" si="6"/>
        <v>Jaan Saar</v>
      </c>
      <c r="AL23" s="604">
        <f>IFERROR(INDEX(V!$N:$N,MATCH(AK23,V!$I:$I,0)),"")</f>
        <v>14</v>
      </c>
      <c r="AM23" s="603" t="str">
        <f t="shared" si="7"/>
        <v/>
      </c>
      <c r="AN23" s="604" t="str">
        <f>IFERROR(INDEX(V!$N:$N,MATCH(AM23,V!$I:$I,0)),"")</f>
        <v/>
      </c>
      <c r="AO23" s="603" t="str">
        <f t="shared" si="8"/>
        <v/>
      </c>
      <c r="AP23" s="604" t="str">
        <f>IFERROR(INDEX(V!$N:$N,MATCH(AO23,V!$I:$I,0)),"")</f>
        <v/>
      </c>
    </row>
    <row r="24" spans="1:42" ht="12.75" hidden="1" customHeight="1" x14ac:dyDescent="0.2">
      <c r="L24" s="32"/>
      <c r="M24" s="32"/>
      <c r="N24" s="32"/>
      <c r="T24" s="32"/>
      <c r="U24" s="32"/>
      <c r="V24" s="32"/>
      <c r="W24" s="32"/>
    </row>
    <row r="25" spans="1:42" ht="12.75" hidden="1" customHeight="1" x14ac:dyDescent="0.2">
      <c r="L25" s="32"/>
      <c r="M25" s="32"/>
      <c r="N25" s="32"/>
      <c r="T25" s="32"/>
      <c r="U25" s="32"/>
      <c r="V25" s="32"/>
      <c r="W25" s="32"/>
    </row>
    <row r="26" spans="1:42" ht="12.75" hidden="1" customHeight="1" x14ac:dyDescent="0.2">
      <c r="L26" s="32"/>
      <c r="M26" s="32"/>
      <c r="N26" s="32"/>
      <c r="T26" s="32"/>
      <c r="U26" s="32"/>
      <c r="V26" s="32"/>
      <c r="W26" s="32"/>
    </row>
    <row r="27" spans="1:42" ht="12.75" hidden="1" customHeight="1" x14ac:dyDescent="0.2">
      <c r="L27" s="32"/>
      <c r="M27" s="32"/>
      <c r="N27" s="32"/>
      <c r="T27" s="32"/>
      <c r="U27" s="32"/>
      <c r="V27" s="32"/>
      <c r="W27" s="32"/>
    </row>
    <row r="28" spans="1:42" ht="12.75" hidden="1" customHeight="1" x14ac:dyDescent="0.2">
      <c r="L28" s="32"/>
      <c r="M28" s="32"/>
      <c r="N28" s="32"/>
      <c r="T28" s="32"/>
      <c r="U28" s="32"/>
      <c r="V28" s="32"/>
      <c r="W28" s="223"/>
    </row>
    <row r="29" spans="1:42" ht="12.75" hidden="1" customHeight="1" x14ac:dyDescent="0.2">
      <c r="L29" s="32"/>
      <c r="M29" s="32"/>
      <c r="N29" s="32"/>
      <c r="T29" s="32"/>
      <c r="U29" s="32"/>
      <c r="V29" s="32"/>
      <c r="W29" s="223"/>
    </row>
    <row r="30" spans="1:42" ht="12.75" hidden="1" customHeight="1" x14ac:dyDescent="0.2">
      <c r="L30" s="32"/>
      <c r="M30" s="32"/>
      <c r="N30" s="32"/>
      <c r="T30" s="32"/>
      <c r="U30" s="32"/>
      <c r="V30" s="32"/>
      <c r="W30" s="223"/>
    </row>
    <row r="31" spans="1:42" ht="12.75" hidden="1" customHeight="1" x14ac:dyDescent="0.2">
      <c r="L31" s="32"/>
      <c r="M31" s="32"/>
      <c r="N31" s="32"/>
      <c r="T31" s="32"/>
      <c r="U31" s="32"/>
      <c r="V31" s="32"/>
      <c r="W31" s="223"/>
    </row>
    <row r="32" spans="1:42" ht="12.75" hidden="1" customHeight="1" x14ac:dyDescent="0.2">
      <c r="L32" s="32"/>
      <c r="M32" s="32"/>
      <c r="N32" s="32"/>
      <c r="T32" s="32"/>
      <c r="U32" s="32"/>
      <c r="V32" s="32"/>
      <c r="W32" s="223"/>
    </row>
    <row r="33" spans="12:23" ht="12.75" hidden="1" customHeight="1" x14ac:dyDescent="0.2">
      <c r="L33" s="32"/>
      <c r="M33" s="32"/>
      <c r="N33" s="32"/>
      <c r="T33" s="32"/>
      <c r="U33" s="32"/>
      <c r="V33" s="32"/>
      <c r="W33" s="223"/>
    </row>
    <row r="34" spans="12:23" ht="12.75" hidden="1" customHeight="1" x14ac:dyDescent="0.2">
      <c r="L34" s="32"/>
      <c r="M34" s="32"/>
      <c r="N34" s="32"/>
      <c r="T34" s="32"/>
      <c r="U34" s="32"/>
      <c r="V34" s="32"/>
      <c r="W34" s="223"/>
    </row>
    <row r="35" spans="12:23" ht="12.75" hidden="1" customHeight="1" x14ac:dyDescent="0.2">
      <c r="L35" s="32"/>
      <c r="M35" s="32"/>
      <c r="N35" s="32"/>
      <c r="T35" s="32"/>
      <c r="U35" s="32"/>
      <c r="V35" s="32"/>
      <c r="W35" s="223"/>
    </row>
    <row r="36" spans="12:23" ht="12.75" hidden="1" customHeight="1" x14ac:dyDescent="0.2">
      <c r="L36" s="32"/>
      <c r="M36" s="32"/>
      <c r="N36" s="32"/>
      <c r="T36" s="32"/>
      <c r="U36" s="32"/>
      <c r="V36" s="32"/>
      <c r="W36" s="223"/>
    </row>
    <row r="37" spans="12:23" ht="12.75" hidden="1" customHeight="1" x14ac:dyDescent="0.2">
      <c r="L37" s="32"/>
      <c r="M37" s="32"/>
      <c r="N37" s="32"/>
      <c r="T37" s="32"/>
      <c r="U37" s="32"/>
      <c r="V37" s="32"/>
      <c r="W37" s="223"/>
    </row>
    <row r="38" spans="12:23" ht="12.75" hidden="1" customHeight="1" x14ac:dyDescent="0.2">
      <c r="L38" s="32"/>
      <c r="M38" s="32"/>
      <c r="N38" s="32"/>
      <c r="T38" s="32"/>
      <c r="U38" s="32"/>
      <c r="V38" s="32"/>
      <c r="W38" s="223"/>
    </row>
    <row r="39" spans="12:23" ht="12.75" hidden="1" customHeight="1" x14ac:dyDescent="0.2">
      <c r="L39" s="32"/>
      <c r="M39" s="32"/>
      <c r="N39" s="32"/>
      <c r="T39" s="32"/>
      <c r="U39" s="32"/>
      <c r="V39" s="32"/>
      <c r="W39" s="223"/>
    </row>
    <row r="40" spans="12:23" ht="12.75" hidden="1" customHeight="1" x14ac:dyDescent="0.2">
      <c r="L40" s="32"/>
      <c r="M40" s="32"/>
      <c r="N40" s="32"/>
      <c r="T40" s="32"/>
      <c r="U40" s="32"/>
      <c r="V40" s="32"/>
      <c r="W40" s="223"/>
    </row>
    <row r="41" spans="12:23" ht="12.75" hidden="1" customHeight="1" x14ac:dyDescent="0.2">
      <c r="L41" s="32"/>
      <c r="M41" s="32"/>
      <c r="N41" s="32"/>
      <c r="T41" s="32"/>
      <c r="U41" s="32"/>
      <c r="V41" s="32"/>
      <c r="W41" s="223"/>
    </row>
    <row r="42" spans="12:23" ht="12.75" hidden="1" customHeight="1" x14ac:dyDescent="0.2">
      <c r="L42" s="32"/>
      <c r="M42" s="32"/>
      <c r="N42" s="32"/>
      <c r="T42" s="32"/>
      <c r="U42" s="32"/>
      <c r="V42" s="32"/>
      <c r="W42" s="223"/>
    </row>
    <row r="43" spans="12:23" ht="12.75" hidden="1" customHeight="1" x14ac:dyDescent="0.2">
      <c r="L43" s="32"/>
      <c r="M43" s="32"/>
      <c r="N43" s="32"/>
      <c r="T43" s="32"/>
      <c r="U43" s="32"/>
      <c r="V43" s="32"/>
      <c r="W43" s="223"/>
    </row>
    <row r="44" spans="12:23" ht="12.75" hidden="1" customHeight="1" x14ac:dyDescent="0.2">
      <c r="L44" s="32"/>
      <c r="M44" s="32"/>
      <c r="N44" s="32"/>
      <c r="T44" s="32"/>
      <c r="U44" s="32"/>
      <c r="V44" s="32"/>
      <c r="W44" s="223"/>
    </row>
    <row r="45" spans="12:23" ht="12.75" hidden="1" customHeight="1" x14ac:dyDescent="0.2">
      <c r="L45" s="32"/>
      <c r="M45" s="32"/>
      <c r="N45" s="32"/>
      <c r="T45" s="32"/>
      <c r="U45" s="32"/>
      <c r="V45" s="32"/>
      <c r="W45" s="223"/>
    </row>
    <row r="46" spans="12:23" ht="12.75" hidden="1" customHeight="1" x14ac:dyDescent="0.2">
      <c r="L46" s="32"/>
      <c r="M46" s="32"/>
      <c r="N46" s="32"/>
      <c r="T46" s="32"/>
      <c r="U46" s="32"/>
      <c r="V46" s="32"/>
      <c r="W46" s="223"/>
    </row>
    <row r="47" spans="12:23" ht="12.75" hidden="1" customHeight="1" x14ac:dyDescent="0.2">
      <c r="L47" s="32"/>
      <c r="M47" s="32"/>
      <c r="N47" s="32"/>
      <c r="T47" s="32"/>
      <c r="U47" s="32"/>
      <c r="V47" s="32"/>
      <c r="W47" s="223"/>
    </row>
    <row r="48" spans="12:23" ht="12.75" hidden="1" customHeight="1" x14ac:dyDescent="0.2">
      <c r="L48" s="32"/>
      <c r="M48" s="32"/>
      <c r="N48" s="32"/>
      <c r="T48" s="32"/>
      <c r="U48" s="32"/>
      <c r="V48" s="32"/>
      <c r="W48" s="223"/>
    </row>
    <row r="49" spans="12:23" ht="12.75" hidden="1" customHeight="1" x14ac:dyDescent="0.2">
      <c r="L49" s="32"/>
      <c r="M49" s="32"/>
      <c r="N49" s="32"/>
      <c r="T49" s="32"/>
      <c r="U49" s="32"/>
      <c r="V49" s="32"/>
      <c r="W49" s="223"/>
    </row>
    <row r="50" spans="12:23" ht="12.75" hidden="1" customHeight="1" x14ac:dyDescent="0.2">
      <c r="L50" s="32"/>
      <c r="M50" s="32"/>
      <c r="N50" s="32"/>
      <c r="T50" s="32"/>
      <c r="U50" s="32"/>
      <c r="V50" s="32"/>
      <c r="W50" s="223"/>
    </row>
    <row r="51" spans="12:23" ht="12.75" hidden="1" customHeight="1" x14ac:dyDescent="0.2">
      <c r="L51" s="32"/>
      <c r="M51" s="32"/>
      <c r="N51" s="32"/>
      <c r="T51" s="32"/>
      <c r="U51" s="32"/>
      <c r="V51" s="32"/>
      <c r="W51" s="223"/>
    </row>
    <row r="52" spans="12:23" ht="12.75" hidden="1" customHeight="1" x14ac:dyDescent="0.2">
      <c r="L52" s="32"/>
      <c r="M52" s="32"/>
      <c r="N52" s="32"/>
      <c r="T52" s="32"/>
      <c r="U52" s="32"/>
      <c r="V52" s="32"/>
      <c r="W52" s="223"/>
    </row>
    <row r="53" spans="12:23" ht="12.75" hidden="1" customHeight="1" x14ac:dyDescent="0.2">
      <c r="L53" s="32"/>
      <c r="M53" s="32"/>
      <c r="N53" s="32"/>
      <c r="T53" s="32"/>
      <c r="U53" s="32"/>
      <c r="V53" s="32"/>
      <c r="W53" s="223"/>
    </row>
    <row r="54" spans="12:23" ht="12.75" hidden="1" customHeight="1" x14ac:dyDescent="0.2">
      <c r="L54" s="32"/>
      <c r="M54" s="32"/>
      <c r="N54" s="32"/>
      <c r="T54" s="32"/>
      <c r="U54" s="32"/>
      <c r="V54" s="32"/>
      <c r="W54" s="223"/>
    </row>
    <row r="55" spans="12:23" ht="12.75" hidden="1" customHeight="1" x14ac:dyDescent="0.2">
      <c r="L55" s="32"/>
      <c r="M55" s="32"/>
      <c r="N55" s="32"/>
      <c r="T55" s="32"/>
      <c r="U55" s="32"/>
      <c r="V55" s="32"/>
      <c r="W55" s="223"/>
    </row>
    <row r="56" spans="12:23" ht="12.75" hidden="1" customHeight="1" x14ac:dyDescent="0.2">
      <c r="L56" s="32"/>
      <c r="M56" s="32"/>
      <c r="N56" s="32"/>
      <c r="T56" s="32"/>
      <c r="U56" s="32"/>
      <c r="V56" s="32"/>
      <c r="W56" s="223"/>
    </row>
    <row r="57" spans="12:23" ht="12.75" hidden="1" customHeight="1" x14ac:dyDescent="0.2">
      <c r="L57" s="32"/>
      <c r="M57" s="32"/>
      <c r="N57" s="32"/>
      <c r="T57" s="32"/>
      <c r="U57" s="32"/>
      <c r="V57" s="32"/>
      <c r="W57" s="223"/>
    </row>
    <row r="58" spans="12:23" ht="12.75" hidden="1" customHeight="1" x14ac:dyDescent="0.2">
      <c r="L58" s="32"/>
      <c r="M58" s="32"/>
      <c r="N58" s="32"/>
      <c r="T58" s="32"/>
      <c r="U58" s="32"/>
      <c r="V58" s="32"/>
      <c r="W58" s="223"/>
    </row>
    <row r="59" spans="12:23" ht="12.75" hidden="1" customHeight="1" x14ac:dyDescent="0.2">
      <c r="L59" s="32"/>
      <c r="M59" s="32"/>
      <c r="N59" s="32"/>
      <c r="T59" s="32"/>
      <c r="U59" s="32"/>
      <c r="V59" s="32"/>
      <c r="W59" s="223"/>
    </row>
    <row r="60" spans="12:23" ht="12.75" hidden="1" customHeight="1" x14ac:dyDescent="0.2">
      <c r="L60" s="32"/>
      <c r="M60" s="32"/>
      <c r="N60" s="32"/>
      <c r="T60" s="32"/>
      <c r="U60" s="32"/>
      <c r="V60" s="32"/>
      <c r="W60" s="223"/>
    </row>
    <row r="61" spans="12:23" ht="12.75" hidden="1" customHeight="1" x14ac:dyDescent="0.2">
      <c r="L61" s="32"/>
      <c r="M61" s="32"/>
      <c r="N61" s="32"/>
      <c r="T61" s="32"/>
      <c r="U61" s="32"/>
      <c r="V61" s="32"/>
      <c r="W61" s="223"/>
    </row>
    <row r="62" spans="12:23" ht="12.75" hidden="1" customHeight="1" x14ac:dyDescent="0.2">
      <c r="L62" s="32"/>
      <c r="M62" s="32"/>
      <c r="N62" s="32"/>
      <c r="T62" s="32"/>
      <c r="U62" s="32"/>
      <c r="V62" s="32"/>
      <c r="W62" s="223"/>
    </row>
    <row r="63" spans="12:23" ht="12.75" hidden="1" customHeight="1" x14ac:dyDescent="0.2">
      <c r="L63" s="32"/>
      <c r="M63" s="32"/>
      <c r="N63" s="32"/>
      <c r="T63" s="32"/>
      <c r="U63" s="32"/>
      <c r="V63" s="32"/>
      <c r="W63" s="223"/>
    </row>
    <row r="64" spans="12:23" ht="12.75" hidden="1" customHeight="1" x14ac:dyDescent="0.2">
      <c r="L64" s="32"/>
      <c r="M64" s="32"/>
      <c r="N64" s="32"/>
      <c r="T64" s="32"/>
      <c r="U64" s="32"/>
      <c r="V64" s="32"/>
      <c r="W64" s="223"/>
    </row>
    <row r="65" spans="12:23" ht="12.75" hidden="1" customHeight="1" x14ac:dyDescent="0.2">
      <c r="L65" s="32"/>
      <c r="M65" s="32"/>
      <c r="N65" s="32"/>
      <c r="T65" s="32"/>
      <c r="U65" s="32"/>
      <c r="V65" s="32"/>
      <c r="W65" s="223"/>
    </row>
    <row r="66" spans="12:23" ht="12.75" hidden="1" customHeight="1" x14ac:dyDescent="0.2">
      <c r="L66" s="32"/>
      <c r="M66" s="32"/>
      <c r="N66" s="32"/>
      <c r="T66" s="32"/>
      <c r="U66" s="32"/>
      <c r="V66" s="32"/>
      <c r="W66" s="223"/>
    </row>
    <row r="67" spans="12:23" ht="12.75" hidden="1" customHeight="1" x14ac:dyDescent="0.2">
      <c r="L67" s="32"/>
      <c r="M67" s="32"/>
      <c r="N67" s="32"/>
      <c r="T67" s="32"/>
      <c r="U67" s="32"/>
      <c r="V67" s="32"/>
      <c r="W67" s="223"/>
    </row>
    <row r="68" spans="12:23" ht="12.75" hidden="1" customHeight="1" x14ac:dyDescent="0.2">
      <c r="L68" s="32"/>
      <c r="M68" s="32"/>
      <c r="N68" s="32"/>
      <c r="T68" s="32"/>
      <c r="U68" s="32"/>
      <c r="V68" s="32"/>
      <c r="W68" s="223"/>
    </row>
    <row r="69" spans="12:23" ht="12.75" hidden="1" customHeight="1" x14ac:dyDescent="0.2">
      <c r="L69" s="32"/>
      <c r="M69" s="32"/>
      <c r="N69" s="32"/>
      <c r="T69" s="32"/>
      <c r="U69" s="32"/>
      <c r="V69" s="32"/>
      <c r="W69" s="223"/>
    </row>
    <row r="70" spans="12:23" ht="12.75" hidden="1" customHeight="1" x14ac:dyDescent="0.2">
      <c r="L70" s="32"/>
      <c r="M70" s="32"/>
      <c r="N70" s="32"/>
      <c r="T70" s="32"/>
      <c r="U70" s="32"/>
      <c r="V70" s="32"/>
      <c r="W70" s="223"/>
    </row>
    <row r="71" spans="12:23" ht="12.75" hidden="1" customHeight="1" x14ac:dyDescent="0.2">
      <c r="L71" s="32"/>
      <c r="M71" s="32"/>
      <c r="N71" s="32"/>
      <c r="T71" s="32"/>
      <c r="U71" s="32"/>
      <c r="V71" s="32"/>
      <c r="W71" s="223"/>
    </row>
    <row r="72" spans="12:23" ht="12.75" hidden="1" customHeight="1" x14ac:dyDescent="0.2">
      <c r="L72" s="32"/>
      <c r="M72" s="32"/>
      <c r="N72" s="32"/>
      <c r="T72" s="32"/>
      <c r="U72" s="32"/>
      <c r="V72" s="32"/>
      <c r="W72" s="223"/>
    </row>
    <row r="73" spans="12:23" ht="12.75" hidden="1" customHeight="1" x14ac:dyDescent="0.2">
      <c r="L73" s="32"/>
      <c r="M73" s="32"/>
      <c r="N73" s="32"/>
      <c r="T73" s="32"/>
      <c r="U73" s="32"/>
      <c r="V73" s="32"/>
      <c r="W73" s="223"/>
    </row>
    <row r="74" spans="12:23" ht="12.75" hidden="1" customHeight="1" x14ac:dyDescent="0.2">
      <c r="L74" s="32"/>
      <c r="M74" s="32"/>
      <c r="N74" s="32"/>
      <c r="T74" s="32"/>
      <c r="U74" s="32"/>
      <c r="V74" s="32"/>
      <c r="W74" s="223"/>
    </row>
    <row r="75" spans="12:23" ht="12.75" hidden="1" customHeight="1" x14ac:dyDescent="0.2">
      <c r="L75" s="32"/>
      <c r="M75" s="32"/>
      <c r="N75" s="32"/>
      <c r="T75" s="32"/>
      <c r="U75" s="32"/>
      <c r="V75" s="32"/>
      <c r="W75" s="223"/>
    </row>
    <row r="76" spans="12:23" ht="12.75" hidden="1" customHeight="1" x14ac:dyDescent="0.2">
      <c r="L76" s="32"/>
      <c r="M76" s="32"/>
      <c r="N76" s="32"/>
      <c r="T76" s="32"/>
      <c r="U76" s="32"/>
      <c r="V76" s="32"/>
      <c r="W76" s="223"/>
    </row>
    <row r="77" spans="12:23" ht="12.75" hidden="1" customHeight="1" x14ac:dyDescent="0.2">
      <c r="L77" s="32"/>
      <c r="M77" s="32"/>
      <c r="N77" s="32"/>
      <c r="T77" s="32"/>
      <c r="U77" s="32"/>
      <c r="V77" s="32"/>
      <c r="W77" s="223"/>
    </row>
    <row r="78" spans="12:23" ht="12.75" hidden="1" customHeight="1" x14ac:dyDescent="0.2">
      <c r="L78" s="32"/>
      <c r="M78" s="32"/>
      <c r="N78" s="32"/>
      <c r="T78" s="32"/>
      <c r="U78" s="32"/>
      <c r="V78" s="32"/>
      <c r="W78" s="223"/>
    </row>
    <row r="79" spans="12:23" ht="12.75" hidden="1" customHeight="1" x14ac:dyDescent="0.2">
      <c r="L79" s="32"/>
      <c r="M79" s="32"/>
      <c r="N79" s="32"/>
      <c r="T79" s="32"/>
      <c r="U79" s="32"/>
      <c r="V79" s="32"/>
      <c r="W79" s="223"/>
    </row>
    <row r="80" spans="12:23" ht="12.75" hidden="1" customHeight="1" x14ac:dyDescent="0.2">
      <c r="L80" s="32"/>
      <c r="M80" s="32"/>
      <c r="N80" s="32"/>
      <c r="T80" s="32"/>
      <c r="U80" s="32"/>
      <c r="V80" s="32"/>
      <c r="W80" s="223"/>
    </row>
    <row r="81" spans="12:23" ht="12.75" hidden="1" customHeight="1" x14ac:dyDescent="0.2">
      <c r="L81" s="32"/>
      <c r="M81" s="32"/>
      <c r="N81" s="32"/>
      <c r="T81" s="32"/>
      <c r="U81" s="32"/>
      <c r="V81" s="32"/>
      <c r="W81" s="223"/>
    </row>
    <row r="82" spans="12:23" ht="12.75" hidden="1" customHeight="1" x14ac:dyDescent="0.2">
      <c r="L82" s="32"/>
      <c r="M82" s="32"/>
      <c r="N82" s="32"/>
      <c r="T82" s="32"/>
      <c r="U82" s="32"/>
      <c r="V82" s="32"/>
      <c r="W82" s="223"/>
    </row>
    <row r="83" spans="12:23" ht="12.75" hidden="1" customHeight="1" x14ac:dyDescent="0.2">
      <c r="L83" s="32"/>
      <c r="M83" s="32"/>
      <c r="N83" s="32"/>
      <c r="T83" s="32"/>
      <c r="U83" s="32"/>
      <c r="V83" s="32"/>
      <c r="W83" s="223"/>
    </row>
    <row r="84" spans="12:23" ht="12.75" hidden="1" customHeight="1" x14ac:dyDescent="0.2">
      <c r="L84" s="32"/>
      <c r="M84" s="32"/>
      <c r="N84" s="32"/>
      <c r="T84" s="32"/>
      <c r="U84" s="32"/>
      <c r="V84" s="32"/>
      <c r="W84" s="223"/>
    </row>
    <row r="85" spans="12:23" ht="12.75" hidden="1" customHeight="1" x14ac:dyDescent="0.2">
      <c r="L85" s="32"/>
      <c r="M85" s="32"/>
      <c r="N85" s="32"/>
      <c r="T85" s="32"/>
      <c r="U85" s="32"/>
      <c r="V85" s="32"/>
      <c r="W85" s="223"/>
    </row>
    <row r="86" spans="12:23" ht="12.75" hidden="1" customHeight="1" x14ac:dyDescent="0.2">
      <c r="L86" s="32"/>
      <c r="M86" s="32"/>
      <c r="N86" s="32"/>
      <c r="T86" s="32"/>
      <c r="U86" s="32"/>
      <c r="V86" s="32"/>
      <c r="W86" s="223"/>
    </row>
    <row r="87" spans="12:23" ht="12.75" hidden="1" customHeight="1" x14ac:dyDescent="0.2">
      <c r="L87" s="32"/>
      <c r="M87" s="32"/>
      <c r="N87" s="32"/>
      <c r="T87" s="32"/>
      <c r="U87" s="32"/>
      <c r="V87" s="32"/>
      <c r="W87" s="223"/>
    </row>
    <row r="88" spans="12:23" ht="12.75" hidden="1" customHeight="1" x14ac:dyDescent="0.2">
      <c r="L88" s="32"/>
      <c r="M88" s="32"/>
      <c r="N88" s="32"/>
      <c r="T88" s="32"/>
      <c r="U88" s="32"/>
      <c r="V88" s="32"/>
      <c r="W88" s="223"/>
    </row>
    <row r="89" spans="12:23" ht="12.75" hidden="1" customHeight="1" x14ac:dyDescent="0.2">
      <c r="L89" s="32"/>
      <c r="M89" s="32"/>
      <c r="N89" s="32"/>
      <c r="T89" s="32"/>
      <c r="U89" s="32"/>
      <c r="V89" s="32"/>
      <c r="W89" s="223"/>
    </row>
    <row r="90" spans="12:23" ht="12.75" hidden="1" customHeight="1" x14ac:dyDescent="0.2">
      <c r="L90" s="32"/>
      <c r="M90" s="32"/>
      <c r="N90" s="32"/>
      <c r="T90" s="32"/>
      <c r="U90" s="32"/>
      <c r="V90" s="32"/>
      <c r="W90" s="223"/>
    </row>
    <row r="91" spans="12:23" ht="12.75" hidden="1" customHeight="1" x14ac:dyDescent="0.2">
      <c r="L91" s="32"/>
      <c r="M91" s="32"/>
      <c r="N91" s="32"/>
      <c r="T91" s="32"/>
      <c r="U91" s="32"/>
      <c r="V91" s="32"/>
      <c r="W91" s="223"/>
    </row>
    <row r="92" spans="12:23" ht="12.75" hidden="1" customHeight="1" x14ac:dyDescent="0.2">
      <c r="L92" s="32"/>
      <c r="M92" s="32"/>
      <c r="N92" s="32"/>
      <c r="T92" s="32"/>
      <c r="U92" s="32"/>
      <c r="V92" s="32"/>
      <c r="W92" s="223"/>
    </row>
    <row r="93" spans="12:23" ht="12.75" hidden="1" customHeight="1" x14ac:dyDescent="0.2">
      <c r="L93" s="32"/>
      <c r="M93" s="32"/>
      <c r="N93" s="32"/>
      <c r="T93" s="32"/>
      <c r="U93" s="32"/>
      <c r="V93" s="32"/>
      <c r="W93" s="223"/>
    </row>
    <row r="94" spans="12:23" ht="12.75" hidden="1" customHeight="1" x14ac:dyDescent="0.2">
      <c r="L94" s="32"/>
      <c r="M94" s="32"/>
      <c r="N94" s="32"/>
      <c r="T94" s="32"/>
      <c r="U94" s="32"/>
      <c r="V94" s="32"/>
      <c r="W94" s="223"/>
    </row>
    <row r="95" spans="12:23" ht="12.75" hidden="1" customHeight="1" x14ac:dyDescent="0.2">
      <c r="L95" s="32"/>
      <c r="M95" s="32"/>
      <c r="N95" s="32"/>
      <c r="T95" s="32"/>
      <c r="U95" s="32"/>
      <c r="V95" s="32"/>
      <c r="W95" s="223"/>
    </row>
    <row r="96" spans="12:23" ht="12.75" hidden="1" customHeight="1" x14ac:dyDescent="0.2">
      <c r="L96" s="32"/>
      <c r="M96" s="32"/>
      <c r="N96" s="32"/>
      <c r="T96" s="32"/>
      <c r="U96" s="32"/>
      <c r="V96" s="32"/>
      <c r="W96" s="223"/>
    </row>
    <row r="97" spans="12:23" ht="12.75" hidden="1" customHeight="1" x14ac:dyDescent="0.2">
      <c r="L97" s="32"/>
      <c r="M97" s="32"/>
      <c r="N97" s="32"/>
      <c r="T97" s="32"/>
      <c r="U97" s="32"/>
      <c r="V97" s="32"/>
      <c r="W97" s="223"/>
    </row>
    <row r="98" spans="12:23" ht="12.75" hidden="1" customHeight="1" x14ac:dyDescent="0.2">
      <c r="L98" s="32"/>
      <c r="M98" s="32"/>
      <c r="N98" s="32"/>
      <c r="T98" s="32"/>
      <c r="U98" s="32"/>
      <c r="V98" s="32"/>
      <c r="W98" s="223"/>
    </row>
    <row r="99" spans="12:23" ht="12.75" hidden="1" customHeight="1" x14ac:dyDescent="0.2">
      <c r="L99" s="32"/>
      <c r="M99" s="32"/>
      <c r="N99" s="32"/>
      <c r="T99" s="32"/>
      <c r="U99" s="32"/>
      <c r="V99" s="32"/>
      <c r="W99" s="223"/>
    </row>
    <row r="100" spans="12:23" ht="12.75" hidden="1" customHeight="1" x14ac:dyDescent="0.2">
      <c r="L100" s="32"/>
      <c r="M100" s="32"/>
      <c r="N100" s="32"/>
      <c r="T100" s="32"/>
      <c r="U100" s="32"/>
      <c r="V100" s="32"/>
      <c r="W100" s="223"/>
    </row>
    <row r="101" spans="12:23" ht="12.75" hidden="1" customHeight="1" x14ac:dyDescent="0.2">
      <c r="L101" s="32"/>
      <c r="M101" s="32"/>
      <c r="N101" s="32"/>
      <c r="T101" s="32"/>
      <c r="U101" s="32"/>
      <c r="V101" s="32"/>
      <c r="W101" s="223"/>
    </row>
    <row r="102" spans="12:23" ht="12.75" hidden="1" customHeight="1" x14ac:dyDescent="0.2">
      <c r="L102" s="32"/>
      <c r="M102" s="32"/>
      <c r="N102" s="32"/>
      <c r="T102" s="32"/>
      <c r="U102" s="32"/>
      <c r="V102" s="32"/>
      <c r="W102" s="223"/>
    </row>
    <row r="103" spans="12:23" ht="12.75" hidden="1" customHeight="1" x14ac:dyDescent="0.2">
      <c r="L103" s="32"/>
      <c r="M103" s="32"/>
      <c r="N103" s="32"/>
      <c r="T103" s="32"/>
      <c r="U103" s="32"/>
      <c r="V103" s="32"/>
      <c r="W103" s="223"/>
    </row>
    <row r="104" spans="12:23" ht="12.75" hidden="1" customHeight="1" x14ac:dyDescent="0.2">
      <c r="L104" s="32"/>
      <c r="M104" s="32"/>
      <c r="N104" s="32"/>
      <c r="T104" s="32"/>
      <c r="U104" s="32"/>
      <c r="V104" s="32"/>
      <c r="W104" s="223"/>
    </row>
    <row r="105" spans="12:23" ht="12.75" hidden="1" customHeight="1" x14ac:dyDescent="0.2">
      <c r="L105" s="32"/>
      <c r="M105" s="32"/>
      <c r="N105" s="32"/>
      <c r="T105" s="32"/>
      <c r="U105" s="32"/>
      <c r="V105" s="32"/>
      <c r="W105" s="223"/>
    </row>
    <row r="106" spans="12:23" ht="12.75" hidden="1" customHeight="1" x14ac:dyDescent="0.2">
      <c r="L106" s="32"/>
      <c r="M106" s="32"/>
      <c r="N106" s="32"/>
      <c r="T106" s="32"/>
      <c r="U106" s="32"/>
      <c r="V106" s="32"/>
      <c r="W106" s="223"/>
    </row>
    <row r="107" spans="12:23" ht="12.75" hidden="1" customHeight="1" x14ac:dyDescent="0.2">
      <c r="L107" s="32"/>
      <c r="M107" s="32"/>
      <c r="N107" s="32"/>
      <c r="T107" s="32"/>
      <c r="U107" s="32"/>
      <c r="V107" s="32"/>
      <c r="W107" s="223"/>
    </row>
    <row r="108" spans="12:23" ht="12.75" hidden="1" customHeight="1" x14ac:dyDescent="0.2">
      <c r="L108" s="32"/>
      <c r="M108" s="32"/>
      <c r="N108" s="32"/>
      <c r="T108" s="32"/>
      <c r="U108" s="32"/>
      <c r="V108" s="32"/>
      <c r="W108" s="223"/>
    </row>
    <row r="109" spans="12:23" ht="12.75" hidden="1" customHeight="1" x14ac:dyDescent="0.2">
      <c r="L109" s="32"/>
      <c r="M109" s="32"/>
      <c r="N109" s="32"/>
      <c r="T109" s="32"/>
      <c r="U109" s="32"/>
      <c r="V109" s="32"/>
      <c r="W109" s="223"/>
    </row>
    <row r="110" spans="12:23" ht="12.75" hidden="1" customHeight="1" x14ac:dyDescent="0.2">
      <c r="L110" s="32"/>
      <c r="M110" s="32"/>
      <c r="N110" s="32"/>
      <c r="T110" s="32"/>
      <c r="U110" s="32"/>
      <c r="V110" s="32"/>
      <c r="W110" s="223"/>
    </row>
    <row r="111" spans="12:23" ht="12.75" hidden="1" customHeight="1" x14ac:dyDescent="0.2">
      <c r="L111" s="32"/>
      <c r="M111" s="32"/>
      <c r="N111" s="32"/>
      <c r="T111" s="32"/>
      <c r="U111" s="32"/>
      <c r="V111" s="32"/>
      <c r="W111" s="223"/>
    </row>
    <row r="112" spans="12:23" ht="12.75" hidden="1" customHeight="1" x14ac:dyDescent="0.2">
      <c r="L112" s="32"/>
      <c r="M112" s="32"/>
      <c r="N112" s="32"/>
      <c r="T112" s="32"/>
      <c r="U112" s="32"/>
      <c r="V112" s="32"/>
      <c r="W112" s="223"/>
    </row>
    <row r="113" spans="12:23" ht="12.75" hidden="1" customHeight="1" x14ac:dyDescent="0.2">
      <c r="L113" s="32"/>
      <c r="M113" s="32"/>
      <c r="N113" s="32"/>
      <c r="T113" s="32"/>
      <c r="U113" s="32"/>
      <c r="V113" s="32"/>
      <c r="W113" s="223"/>
    </row>
    <row r="114" spans="12:23" ht="12.75" hidden="1" customHeight="1" x14ac:dyDescent="0.2">
      <c r="L114" s="32"/>
      <c r="M114" s="32"/>
      <c r="N114" s="32"/>
      <c r="T114" s="32"/>
      <c r="U114" s="32"/>
      <c r="V114" s="32"/>
      <c r="W114" s="223"/>
    </row>
    <row r="115" spans="12:23" ht="12.75" hidden="1" customHeight="1" x14ac:dyDescent="0.2">
      <c r="L115" s="32"/>
      <c r="M115" s="32"/>
      <c r="N115" s="32"/>
      <c r="T115" s="32"/>
      <c r="U115" s="32"/>
      <c r="V115" s="32"/>
      <c r="W115" s="223"/>
    </row>
    <row r="116" spans="12:23" ht="12.75" hidden="1" customHeight="1" x14ac:dyDescent="0.2">
      <c r="L116" s="32"/>
      <c r="M116" s="32"/>
      <c r="N116" s="32"/>
      <c r="T116" s="32"/>
      <c r="U116" s="32"/>
      <c r="V116" s="32"/>
      <c r="W116" s="223"/>
    </row>
    <row r="117" spans="12:23" ht="12.75" hidden="1" customHeight="1" x14ac:dyDescent="0.2">
      <c r="L117" s="32"/>
      <c r="M117" s="32"/>
      <c r="N117" s="32"/>
      <c r="T117" s="32"/>
      <c r="U117" s="32"/>
      <c r="V117" s="32"/>
      <c r="W117" s="223"/>
    </row>
    <row r="118" spans="12:23" ht="12.75" hidden="1" customHeight="1" x14ac:dyDescent="0.2">
      <c r="L118" s="32"/>
      <c r="M118" s="32"/>
      <c r="N118" s="32"/>
      <c r="T118" s="32"/>
      <c r="U118" s="32"/>
      <c r="V118" s="32"/>
      <c r="W118" s="223"/>
    </row>
    <row r="119" spans="12:23" ht="12.75" hidden="1" customHeight="1" x14ac:dyDescent="0.2">
      <c r="L119" s="32"/>
      <c r="M119" s="32"/>
      <c r="N119" s="32"/>
      <c r="T119" s="32"/>
      <c r="U119" s="32"/>
      <c r="V119" s="32"/>
      <c r="W119" s="223"/>
    </row>
    <row r="120" spans="12:23" ht="12.75" hidden="1" customHeight="1" x14ac:dyDescent="0.2">
      <c r="L120" s="32"/>
      <c r="M120" s="32"/>
      <c r="N120" s="32"/>
      <c r="T120" s="32"/>
      <c r="U120" s="32"/>
      <c r="V120" s="32"/>
      <c r="W120" s="223"/>
    </row>
    <row r="121" spans="12:23" ht="12.75" hidden="1" customHeight="1" x14ac:dyDescent="0.2">
      <c r="L121" s="32"/>
      <c r="M121" s="32"/>
      <c r="N121" s="32"/>
      <c r="T121" s="32"/>
      <c r="U121" s="32"/>
      <c r="V121" s="32"/>
      <c r="W121" s="223"/>
    </row>
    <row r="122" spans="12:23" ht="12.75" hidden="1" customHeight="1" x14ac:dyDescent="0.2">
      <c r="L122" s="32"/>
      <c r="M122" s="32"/>
      <c r="N122" s="32"/>
      <c r="T122" s="32"/>
      <c r="U122" s="32"/>
      <c r="V122" s="32"/>
      <c r="W122" s="223"/>
    </row>
    <row r="123" spans="12:23" ht="12.75" hidden="1" customHeight="1" x14ac:dyDescent="0.2">
      <c r="L123" s="32"/>
      <c r="M123" s="32"/>
      <c r="N123" s="32"/>
      <c r="T123" s="32"/>
      <c r="U123" s="32"/>
      <c r="V123" s="32"/>
      <c r="W123" s="223"/>
    </row>
    <row r="124" spans="12:23" ht="12.75" hidden="1" customHeight="1" x14ac:dyDescent="0.2">
      <c r="L124" s="32"/>
      <c r="M124" s="32"/>
      <c r="N124" s="32"/>
      <c r="T124" s="32"/>
      <c r="U124" s="32"/>
      <c r="V124" s="32"/>
      <c r="W124" s="223"/>
    </row>
    <row r="125" spans="12:23" ht="12.75" hidden="1" customHeight="1" x14ac:dyDescent="0.2">
      <c r="L125" s="32"/>
      <c r="M125" s="32"/>
      <c r="N125" s="32"/>
      <c r="T125" s="32"/>
      <c r="U125" s="32"/>
      <c r="V125" s="32"/>
      <c r="W125" s="223"/>
    </row>
    <row r="126" spans="12:23" ht="12.75" hidden="1" customHeight="1" x14ac:dyDescent="0.2">
      <c r="L126" s="32"/>
      <c r="M126" s="32"/>
      <c r="N126" s="32"/>
      <c r="T126" s="32"/>
      <c r="U126" s="32"/>
      <c r="V126" s="32"/>
      <c r="W126" s="223"/>
    </row>
    <row r="127" spans="12:23" ht="12.75" hidden="1" customHeight="1" x14ac:dyDescent="0.2">
      <c r="L127" s="32"/>
      <c r="M127" s="32"/>
      <c r="N127" s="32"/>
      <c r="T127" s="32"/>
      <c r="U127" s="32"/>
      <c r="V127" s="32"/>
      <c r="W127" s="223"/>
    </row>
    <row r="128" spans="12:23" ht="12.75" hidden="1" customHeight="1" x14ac:dyDescent="0.2">
      <c r="L128" s="32"/>
      <c r="M128" s="32"/>
      <c r="N128" s="32"/>
      <c r="T128" s="32"/>
      <c r="U128" s="32"/>
      <c r="V128" s="32"/>
      <c r="W128" s="223"/>
    </row>
    <row r="129" spans="12:23" ht="12.75" hidden="1" customHeight="1" x14ac:dyDescent="0.2">
      <c r="L129" s="32"/>
      <c r="M129" s="32"/>
      <c r="N129" s="32"/>
      <c r="T129" s="32"/>
      <c r="U129" s="32"/>
      <c r="V129" s="32"/>
      <c r="W129" s="223"/>
    </row>
    <row r="130" spans="12:23" ht="12.75" hidden="1" customHeight="1" x14ac:dyDescent="0.2">
      <c r="L130" s="32"/>
      <c r="M130" s="32"/>
      <c r="N130" s="32"/>
      <c r="T130" s="32"/>
      <c r="U130" s="32"/>
      <c r="V130" s="32"/>
      <c r="W130" s="223"/>
    </row>
    <row r="131" spans="12:23" ht="12.75" hidden="1" customHeight="1" x14ac:dyDescent="0.2">
      <c r="L131" s="32"/>
      <c r="M131" s="32"/>
      <c r="N131" s="32"/>
      <c r="T131" s="32"/>
      <c r="U131" s="32"/>
      <c r="V131" s="32"/>
      <c r="W131" s="223"/>
    </row>
    <row r="132" spans="12:23" ht="12.75" hidden="1" customHeight="1" x14ac:dyDescent="0.2">
      <c r="L132" s="32"/>
      <c r="M132" s="32"/>
      <c r="N132" s="32"/>
      <c r="T132" s="32"/>
      <c r="U132" s="32"/>
      <c r="V132" s="32"/>
      <c r="W132" s="223"/>
    </row>
    <row r="133" spans="12:23" ht="12.75" hidden="1" customHeight="1" x14ac:dyDescent="0.2">
      <c r="L133" s="32"/>
      <c r="M133" s="32"/>
      <c r="N133" s="32"/>
      <c r="T133" s="32"/>
      <c r="U133" s="32"/>
      <c r="V133" s="32"/>
      <c r="W133" s="223"/>
    </row>
    <row r="134" spans="12:23" ht="12.75" hidden="1" customHeight="1" x14ac:dyDescent="0.2">
      <c r="L134" s="32"/>
      <c r="M134" s="32"/>
      <c r="N134" s="32"/>
      <c r="T134" s="32"/>
      <c r="U134" s="32"/>
      <c r="V134" s="32"/>
      <c r="W134" s="223"/>
    </row>
    <row r="135" spans="12:23" ht="12.75" hidden="1" customHeight="1" x14ac:dyDescent="0.2">
      <c r="L135" s="32"/>
      <c r="M135" s="32"/>
      <c r="N135" s="32"/>
      <c r="T135" s="32"/>
      <c r="U135" s="32"/>
      <c r="V135" s="32"/>
      <c r="W135" s="223"/>
    </row>
    <row r="136" spans="12:23" ht="12.75" hidden="1" customHeight="1" x14ac:dyDescent="0.2">
      <c r="L136" s="32"/>
      <c r="M136" s="32"/>
      <c r="N136" s="32"/>
      <c r="T136" s="32"/>
      <c r="U136" s="32"/>
      <c r="V136" s="32"/>
      <c r="W136" s="616"/>
    </row>
    <row r="137" spans="12:23" ht="12.75" hidden="1" customHeight="1" x14ac:dyDescent="0.2">
      <c r="L137" s="32"/>
      <c r="M137" s="32"/>
      <c r="N137" s="32"/>
      <c r="T137" s="32"/>
      <c r="U137" s="32"/>
      <c r="V137" s="32"/>
      <c r="W137" s="616"/>
    </row>
    <row r="138" spans="12:23" ht="12.75" hidden="1" customHeight="1" x14ac:dyDescent="0.2">
      <c r="L138" s="32"/>
      <c r="M138" s="32"/>
      <c r="N138" s="32"/>
      <c r="T138" s="32"/>
      <c r="U138" s="32"/>
      <c r="V138" s="32"/>
      <c r="W138" s="616"/>
    </row>
    <row r="139" spans="12:23" ht="12.75" hidden="1" customHeight="1" x14ac:dyDescent="0.2">
      <c r="L139" s="32"/>
      <c r="M139" s="32"/>
      <c r="N139" s="32"/>
      <c r="T139" s="32"/>
      <c r="U139" s="32"/>
      <c r="V139" s="32"/>
      <c r="W139" s="616"/>
    </row>
    <row r="140" spans="12:23" ht="12.75" hidden="1" customHeight="1" x14ac:dyDescent="0.2">
      <c r="L140" s="32"/>
      <c r="M140" s="32"/>
      <c r="N140" s="32"/>
      <c r="T140" s="32"/>
      <c r="U140" s="32"/>
      <c r="V140" s="32"/>
      <c r="W140" s="616"/>
    </row>
    <row r="141" spans="12:23" ht="12.75" hidden="1" customHeight="1" x14ac:dyDescent="0.2">
      <c r="L141" s="32"/>
      <c r="M141" s="32"/>
      <c r="N141" s="32"/>
      <c r="T141" s="32"/>
      <c r="U141" s="32"/>
      <c r="V141" s="32"/>
      <c r="W141" s="616"/>
    </row>
    <row r="142" spans="12:23" ht="12.75" hidden="1" customHeight="1" x14ac:dyDescent="0.2">
      <c r="L142" s="32"/>
      <c r="M142" s="32"/>
      <c r="N142" s="32"/>
      <c r="T142" s="32"/>
      <c r="U142" s="32"/>
      <c r="V142" s="32"/>
      <c r="W142" s="616"/>
    </row>
    <row r="143" spans="12:23" ht="12.75" hidden="1" customHeight="1" x14ac:dyDescent="0.2">
      <c r="L143" s="32"/>
      <c r="M143" s="32"/>
      <c r="N143" s="32"/>
      <c r="T143" s="32"/>
      <c r="U143" s="32"/>
      <c r="V143" s="32"/>
      <c r="W143" s="616"/>
    </row>
    <row r="144" spans="12:23" ht="12.75" hidden="1" customHeight="1" x14ac:dyDescent="0.2">
      <c r="L144" s="32"/>
      <c r="M144" s="32"/>
      <c r="N144" s="32"/>
      <c r="T144" s="32"/>
      <c r="U144" s="32"/>
      <c r="V144" s="32"/>
      <c r="W144" s="616"/>
    </row>
    <row r="145" spans="12:23" ht="12.75" hidden="1" customHeight="1" x14ac:dyDescent="0.2">
      <c r="L145" s="32"/>
      <c r="M145" s="32"/>
      <c r="N145" s="32"/>
      <c r="T145" s="32"/>
      <c r="U145" s="32"/>
      <c r="V145" s="32"/>
      <c r="W145" s="616"/>
    </row>
    <row r="146" spans="12:23" ht="12.75" hidden="1" customHeight="1" x14ac:dyDescent="0.2">
      <c r="L146" s="32"/>
      <c r="M146" s="32"/>
      <c r="N146" s="32"/>
      <c r="T146" s="32"/>
      <c r="U146" s="32"/>
      <c r="V146" s="32"/>
      <c r="W146" s="616"/>
    </row>
    <row r="147" spans="12:23" ht="12.75" hidden="1" customHeight="1" x14ac:dyDescent="0.2"/>
    <row r="148" spans="12:23" ht="12.75" hidden="1" customHeight="1" x14ac:dyDescent="0.2"/>
    <row r="149" spans="12:23" hidden="1" x14ac:dyDescent="0.2"/>
    <row r="150" spans="12:23" hidden="1" x14ac:dyDescent="0.2"/>
    <row r="151" spans="12:23" hidden="1" x14ac:dyDescent="0.2"/>
    <row r="152" spans="12:23" hidden="1" x14ac:dyDescent="0.2"/>
    <row r="153" spans="12:23" hidden="1" x14ac:dyDescent="0.2"/>
    <row r="154" spans="12:23" hidden="1" x14ac:dyDescent="0.2"/>
    <row r="155" spans="12:23" hidden="1" x14ac:dyDescent="0.2"/>
    <row r="156" spans="12:23" hidden="1" x14ac:dyDescent="0.2"/>
    <row r="157" spans="12:23" hidden="1" x14ac:dyDescent="0.2"/>
    <row r="158" spans="12:23" hidden="1" x14ac:dyDescent="0.2"/>
    <row r="159" spans="12:23" hidden="1" x14ac:dyDescent="0.2"/>
    <row r="160" spans="12:23" hidden="1" x14ac:dyDescent="0.2"/>
    <row r="161" spans="12:23" hidden="1" x14ac:dyDescent="0.2"/>
    <row r="162" spans="12:23" hidden="1" x14ac:dyDescent="0.2"/>
    <row r="163" spans="12:23" hidden="1" x14ac:dyDescent="0.2">
      <c r="L163" s="32"/>
      <c r="M163" s="32"/>
      <c r="N163" s="32"/>
      <c r="T163" s="32"/>
      <c r="U163" s="32"/>
      <c r="V163" s="32"/>
      <c r="W163" s="32"/>
    </row>
    <row r="164" spans="12:23" hidden="1" x14ac:dyDescent="0.2">
      <c r="L164" s="32"/>
      <c r="M164" s="32"/>
      <c r="N164" s="32"/>
      <c r="T164" s="32"/>
      <c r="U164" s="32"/>
      <c r="V164" s="32"/>
      <c r="W164" s="32"/>
    </row>
    <row r="165" spans="12:23" hidden="1" x14ac:dyDescent="0.2">
      <c r="L165" s="32"/>
      <c r="M165" s="32"/>
      <c r="N165" s="32"/>
      <c r="T165" s="32"/>
      <c r="U165" s="32"/>
      <c r="V165" s="32"/>
      <c r="W165" s="32"/>
    </row>
    <row r="166" spans="12:23" hidden="1" x14ac:dyDescent="0.2">
      <c r="L166" s="32"/>
      <c r="M166" s="32"/>
      <c r="N166" s="32"/>
      <c r="T166" s="32"/>
      <c r="U166" s="32"/>
      <c r="V166" s="32"/>
      <c r="W166" s="32"/>
    </row>
    <row r="167" spans="12:23" hidden="1" x14ac:dyDescent="0.2">
      <c r="L167" s="32"/>
      <c r="M167" s="32"/>
      <c r="N167" s="32"/>
      <c r="T167" s="32"/>
      <c r="U167" s="32"/>
      <c r="V167" s="32"/>
      <c r="W167" s="32"/>
    </row>
    <row r="168" spans="12:23" hidden="1" x14ac:dyDescent="0.2">
      <c r="L168" s="32"/>
      <c r="M168" s="32"/>
      <c r="N168" s="32"/>
      <c r="T168" s="32"/>
      <c r="U168" s="32"/>
      <c r="V168" s="32"/>
      <c r="W168" s="32"/>
    </row>
    <row r="169" spans="12:23" hidden="1" x14ac:dyDescent="0.2">
      <c r="L169" s="32"/>
      <c r="M169" s="32"/>
      <c r="N169" s="32"/>
      <c r="T169" s="32"/>
      <c r="U169" s="32"/>
      <c r="V169" s="32"/>
      <c r="W169" s="32"/>
    </row>
    <row r="170" spans="12:23" hidden="1" x14ac:dyDescent="0.2">
      <c r="L170" s="32"/>
      <c r="M170" s="32"/>
      <c r="N170" s="32"/>
      <c r="T170" s="32"/>
      <c r="U170" s="32"/>
      <c r="V170" s="32"/>
      <c r="W170" s="32"/>
    </row>
    <row r="171" spans="12:23" hidden="1" x14ac:dyDescent="0.2">
      <c r="L171" s="32"/>
      <c r="M171" s="32"/>
      <c r="N171" s="32"/>
      <c r="T171" s="32"/>
      <c r="U171" s="32"/>
      <c r="V171" s="32"/>
      <c r="W171" s="32"/>
    </row>
    <row r="172" spans="12:23" hidden="1" x14ac:dyDescent="0.2">
      <c r="L172" s="32"/>
      <c r="M172" s="32"/>
      <c r="N172" s="32"/>
      <c r="T172" s="32"/>
      <c r="U172" s="32"/>
      <c r="V172" s="32"/>
      <c r="W172" s="32"/>
    </row>
    <row r="173" spans="12:23" hidden="1" x14ac:dyDescent="0.2">
      <c r="L173" s="32"/>
      <c r="M173" s="32"/>
      <c r="N173" s="32"/>
      <c r="T173" s="32"/>
      <c r="U173" s="32"/>
      <c r="V173" s="32"/>
      <c r="W173" s="32"/>
    </row>
    <row r="174" spans="12:23" hidden="1" x14ac:dyDescent="0.2">
      <c r="L174" s="32"/>
      <c r="M174" s="32"/>
      <c r="N174" s="32"/>
      <c r="T174" s="32"/>
      <c r="U174" s="32"/>
      <c r="V174" s="32"/>
      <c r="W174" s="32"/>
    </row>
    <row r="175" spans="12:23" hidden="1" x14ac:dyDescent="0.2">
      <c r="L175" s="32"/>
      <c r="M175" s="32"/>
      <c r="N175" s="32"/>
      <c r="T175" s="32"/>
      <c r="U175" s="32"/>
      <c r="V175" s="32"/>
      <c r="W175" s="32"/>
    </row>
    <row r="176" spans="1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5" hidden="1" x14ac:dyDescent="0.2"/>
    <row r="290" spans="1:15" hidden="1" x14ac:dyDescent="0.2"/>
    <row r="291" spans="1:15" hidden="1" x14ac:dyDescent="0.2"/>
    <row r="292" spans="1:15" hidden="1" x14ac:dyDescent="0.2"/>
    <row r="293" spans="1:15" hidden="1" x14ac:dyDescent="0.2"/>
    <row r="294" spans="1:15" hidden="1" x14ac:dyDescent="0.2"/>
    <row r="295" spans="1:15" hidden="1" x14ac:dyDescent="0.2"/>
    <row r="296" spans="1:15" hidden="1" x14ac:dyDescent="0.2"/>
    <row r="297" spans="1:15" hidden="1" x14ac:dyDescent="0.2"/>
    <row r="299" spans="1:15" x14ac:dyDescent="0.2">
      <c r="A299" s="277"/>
      <c r="B299" s="277"/>
      <c r="C299" s="1364" t="s">
        <v>190</v>
      </c>
      <c r="D299" s="617"/>
      <c r="E299" s="617"/>
    </row>
    <row r="300" spans="1:15" x14ac:dyDescent="0.2">
      <c r="A300" s="279">
        <v>1</v>
      </c>
      <c r="B300" s="1334" t="str">
        <f>IFERROR(INDEX(B$1:B$100,MATCH(A300,A$1:A$100,0)),"")</f>
        <v>Elmo Lageda, Tõnu Piik</v>
      </c>
      <c r="C300" s="1358">
        <f>MAX(A300:A400)</f>
        <v>16</v>
      </c>
      <c r="D300" s="55"/>
      <c r="E300" s="55"/>
    </row>
    <row r="301" spans="1:15" x14ac:dyDescent="0.2">
      <c r="A301" s="279">
        <v>2</v>
      </c>
      <c r="B301" s="1334" t="str">
        <f t="shared" ref="B301:B315" si="11">IFERROR(INDEX(B$1:B$100,MATCH(A301,A$1:A$100,0)),"")</f>
        <v>Ivar Viljaste, Sirje Viljaste</v>
      </c>
      <c r="C301" s="1357">
        <f>C300-1</f>
        <v>15</v>
      </c>
      <c r="D301" s="34"/>
      <c r="E301" s="34"/>
      <c r="O301" s="188"/>
    </row>
    <row r="302" spans="1:15" x14ac:dyDescent="0.2">
      <c r="A302" s="279">
        <v>3</v>
      </c>
      <c r="B302" s="1334" t="str">
        <f t="shared" si="11"/>
        <v>Kenneth Muusikus, Meelis Luud</v>
      </c>
      <c r="C302" s="1357">
        <v>13.5</v>
      </c>
      <c r="D302" s="34"/>
      <c r="E302" s="34"/>
      <c r="O302" s="188"/>
    </row>
    <row r="303" spans="1:15" x14ac:dyDescent="0.2">
      <c r="A303" s="279">
        <v>3</v>
      </c>
      <c r="B303" s="1334" t="str">
        <f>B11</f>
        <v>Oksana Sažina, Oleg Rõndenkov</v>
      </c>
      <c r="C303" s="1357">
        <v>13.5</v>
      </c>
      <c r="D303" s="34"/>
      <c r="E303" s="34"/>
      <c r="O303" s="188"/>
    </row>
    <row r="304" spans="1:15" x14ac:dyDescent="0.2">
      <c r="A304" s="279">
        <v>5</v>
      </c>
      <c r="B304" s="1334" t="str">
        <f t="shared" si="11"/>
        <v>Aigi Orro, Kalle Orro</v>
      </c>
      <c r="C304" s="1357">
        <v>11</v>
      </c>
      <c r="D304" s="34"/>
      <c r="E304" s="34"/>
      <c r="O304" s="188"/>
    </row>
    <row r="305" spans="1:15" x14ac:dyDescent="0.2">
      <c r="A305" s="279">
        <v>5</v>
      </c>
      <c r="B305" s="1334" t="str">
        <f>B13</f>
        <v>Andres Veski, Svetlana Veski</v>
      </c>
      <c r="C305" s="1357">
        <v>11</v>
      </c>
      <c r="D305" s="34"/>
      <c r="E305" s="34"/>
    </row>
    <row r="306" spans="1:15" x14ac:dyDescent="0.2">
      <c r="A306" s="279">
        <v>5</v>
      </c>
      <c r="B306" s="1334" t="str">
        <f>B14</f>
        <v>Jaan Sepp, Oskar Sepp</v>
      </c>
      <c r="C306" s="1357">
        <v>11</v>
      </c>
      <c r="D306" s="34"/>
      <c r="E306" s="34"/>
    </row>
    <row r="307" spans="1:15" x14ac:dyDescent="0.2">
      <c r="A307" s="279">
        <v>8</v>
      </c>
      <c r="B307" s="1334" t="str">
        <f t="shared" si="11"/>
        <v>Peep Peenema, Urmas Jõeäär</v>
      </c>
      <c r="C307" s="1357">
        <v>9</v>
      </c>
      <c r="D307" s="34"/>
      <c r="E307" s="34"/>
      <c r="O307" s="188"/>
    </row>
    <row r="308" spans="1:15" x14ac:dyDescent="0.2">
      <c r="A308" s="279">
        <v>9</v>
      </c>
      <c r="B308" s="1334" t="str">
        <f t="shared" si="11"/>
        <v>Anna Romanenko, Tarmo Müür</v>
      </c>
      <c r="C308" s="1357">
        <f>C307-1</f>
        <v>8</v>
      </c>
      <c r="D308" s="34"/>
      <c r="E308" s="34"/>
      <c r="O308" s="188"/>
    </row>
    <row r="309" spans="1:15" x14ac:dyDescent="0.2">
      <c r="A309" s="279">
        <v>10</v>
      </c>
      <c r="B309" s="1334" t="str">
        <f t="shared" si="11"/>
        <v>Enn Tokman, Tarmo Bombe</v>
      </c>
      <c r="C309" s="1357">
        <f t="shared" ref="C309:C312" si="12">C308-1</f>
        <v>7</v>
      </c>
      <c r="D309" s="34"/>
      <c r="E309" s="34"/>
      <c r="O309" s="188"/>
    </row>
    <row r="310" spans="1:15" x14ac:dyDescent="0.2">
      <c r="A310" s="279">
        <v>11</v>
      </c>
      <c r="B310" s="1334" t="str">
        <f t="shared" si="11"/>
        <v>Mait Metsla, Vladimir Ogneštšikov</v>
      </c>
      <c r="C310" s="1357">
        <f t="shared" si="12"/>
        <v>6</v>
      </c>
      <c r="D310" s="34"/>
      <c r="E310" s="34"/>
    </row>
    <row r="311" spans="1:15" x14ac:dyDescent="0.2">
      <c r="A311" s="279">
        <v>12</v>
      </c>
      <c r="B311" s="1334" t="str">
        <f t="shared" si="11"/>
        <v>Margus Vasser, Vello Vasser</v>
      </c>
      <c r="C311" s="1357">
        <f t="shared" si="12"/>
        <v>5</v>
      </c>
      <c r="D311" s="34"/>
      <c r="E311" s="34"/>
    </row>
    <row r="312" spans="1:15" x14ac:dyDescent="0.2">
      <c r="A312" s="279">
        <v>13</v>
      </c>
      <c r="B312" s="1334" t="str">
        <f t="shared" si="11"/>
        <v>Karoliina Sild, Tõnis Neiland</v>
      </c>
      <c r="C312" s="1357">
        <f t="shared" si="12"/>
        <v>4</v>
      </c>
      <c r="D312" s="34"/>
      <c r="E312" s="34"/>
      <c r="F312" s="862"/>
    </row>
    <row r="313" spans="1:15" x14ac:dyDescent="0.2">
      <c r="A313" s="279">
        <v>14</v>
      </c>
      <c r="B313" s="1334" t="str">
        <f t="shared" si="11"/>
        <v>Brigitta Neiland, Einar Juhkam, Johannes Neiland</v>
      </c>
      <c r="C313" s="1359">
        <v>2.5</v>
      </c>
      <c r="D313" s="34"/>
      <c r="E313" s="34"/>
      <c r="F313" s="34"/>
      <c r="O313" s="188"/>
    </row>
    <row r="314" spans="1:15" x14ac:dyDescent="0.2">
      <c r="A314" s="279">
        <v>14</v>
      </c>
      <c r="B314" s="1334" t="str">
        <f>B22</f>
        <v>Karla Purgats, Lemmit Toomra</v>
      </c>
      <c r="C314" s="1359">
        <v>2.5</v>
      </c>
    </row>
    <row r="315" spans="1:15" x14ac:dyDescent="0.2">
      <c r="A315" s="279">
        <v>16</v>
      </c>
      <c r="B315" s="1334" t="str">
        <f t="shared" si="11"/>
        <v>Andrei Grintšak, Jaan Saar</v>
      </c>
      <c r="C315" s="1359">
        <v>1</v>
      </c>
    </row>
    <row r="316" spans="1:15" x14ac:dyDescent="0.2">
      <c r="A316" s="42"/>
      <c r="B316" s="42"/>
      <c r="C316" s="42"/>
      <c r="D316" s="42"/>
      <c r="E316" s="42"/>
      <c r="F316" s="42"/>
      <c r="G316" s="42"/>
      <c r="H316" s="42"/>
    </row>
    <row r="317" spans="1:15" x14ac:dyDescent="0.2">
      <c r="A317" s="42"/>
      <c r="B317" s="42"/>
      <c r="C317" s="42"/>
      <c r="D317" s="42"/>
      <c r="E317" s="42"/>
      <c r="F317" s="42"/>
      <c r="G317" s="42"/>
      <c r="H317" s="42"/>
      <c r="O317" s="188"/>
    </row>
    <row r="318" spans="1:15" x14ac:dyDescent="0.2">
      <c r="A318" s="42"/>
      <c r="B318" s="42"/>
      <c r="C318" s="42"/>
      <c r="D318" s="42"/>
      <c r="E318" s="42"/>
      <c r="F318" s="42"/>
      <c r="G318" s="42"/>
      <c r="H318" s="42"/>
    </row>
    <row r="319" spans="1:15" x14ac:dyDescent="0.2">
      <c r="A319" s="42"/>
      <c r="B319" s="42"/>
      <c r="C319" s="42"/>
      <c r="D319" s="42"/>
      <c r="E319" s="42"/>
      <c r="F319" s="42"/>
      <c r="G319" s="42"/>
      <c r="H319" s="42"/>
    </row>
  </sheetData>
  <conditionalFormatting sqref="A300:A315">
    <cfRule type="duplicateValues" dxfId="483" priority="86"/>
  </conditionalFormatting>
  <conditionalFormatting sqref="AI8:AI23 AO8:AO23 AM8:AM23">
    <cfRule type="expression" dxfId="482" priority="85">
      <formula>AND(AJ8="",COUNTIF(AI8,"*,*")=0)</formula>
    </cfRule>
  </conditionalFormatting>
  <conditionalFormatting sqref="AK8:AK23">
    <cfRule type="expression" dxfId="481" priority="83">
      <formula>AND(AL8="",FIND(",",AK8))</formula>
    </cfRule>
    <cfRule type="expression" dxfId="480" priority="84">
      <formula>AND(AL8="",COUNTIF(AK8,"*,*")=0)</formula>
    </cfRule>
  </conditionalFormatting>
  <conditionalFormatting sqref="B301:B315">
    <cfRule type="containsBlanks" dxfId="479" priority="81">
      <formula>LEN(TRIM(B301))=0</formula>
    </cfRule>
    <cfRule type="duplicateValues" dxfId="478" priority="82"/>
  </conditionalFormatting>
  <conditionalFormatting sqref="B300:B315">
    <cfRule type="expression" dxfId="477" priority="76">
      <formula>A300=3</formula>
    </cfRule>
    <cfRule type="expression" dxfId="476" priority="77">
      <formula>A300=2</formula>
    </cfRule>
    <cfRule type="expression" dxfId="475" priority="78">
      <formula>A300=1</formula>
    </cfRule>
    <cfRule type="containsBlanks" dxfId="474" priority="79">
      <formula>LEN(TRIM(B300))=0</formula>
    </cfRule>
    <cfRule type="duplicateValues" dxfId="473" priority="80"/>
  </conditionalFormatting>
  <conditionalFormatting sqref="A8:A23">
    <cfRule type="duplicateValues" dxfId="472" priority="39"/>
  </conditionalFormatting>
  <conditionalFormatting sqref="C8:C23">
    <cfRule type="expression" dxfId="471" priority="21">
      <formula>IF($C8&gt;$E8,TRUE)</formula>
    </cfRule>
  </conditionalFormatting>
  <conditionalFormatting sqref="E8:E23">
    <cfRule type="expression" dxfId="470" priority="22">
      <formula>IF($C8&lt;$E8,TRUE)</formula>
    </cfRule>
  </conditionalFormatting>
  <conditionalFormatting sqref="K8:K23">
    <cfRule type="expression" dxfId="469" priority="29">
      <formula>IF($K8&gt;$M8,TRUE)</formula>
    </cfRule>
  </conditionalFormatting>
  <conditionalFormatting sqref="M8:M23">
    <cfRule type="expression" dxfId="468" priority="30">
      <formula>IF($K8&lt;$M8,TRUE)</formula>
    </cfRule>
  </conditionalFormatting>
  <conditionalFormatting sqref="O8:O23">
    <cfRule type="expression" dxfId="467" priority="33">
      <formula>IF($O8&gt;$Q8,TRUE)</formula>
    </cfRule>
  </conditionalFormatting>
  <conditionalFormatting sqref="Q8:Q23">
    <cfRule type="expression" dxfId="466" priority="34">
      <formula>IF($O8&lt;$Q8,TRUE)</formula>
    </cfRule>
  </conditionalFormatting>
  <conditionalFormatting sqref="S8:S23">
    <cfRule type="expression" dxfId="465" priority="37">
      <formula>IF($S8&gt;$U8,TRUE)</formula>
    </cfRule>
  </conditionalFormatting>
  <conditionalFormatting sqref="U8:U23">
    <cfRule type="expression" dxfId="464" priority="38">
      <formula>IF($S8&lt;$U8,TRUE)</formula>
    </cfRule>
  </conditionalFormatting>
  <conditionalFormatting sqref="G8:G23">
    <cfRule type="expression" dxfId="463" priority="25">
      <formula>IF($G8&gt;$I8,TRUE)</formula>
    </cfRule>
  </conditionalFormatting>
  <conditionalFormatting sqref="I8:I23">
    <cfRule type="expression" dxfId="462" priority="26">
      <formula>IF($G8&lt;$I8,TRUE)</formula>
    </cfRule>
  </conditionalFormatting>
  <conditionalFormatting sqref="F8:F23 N8:N23 R8:R23 V8:V23 Z8:Z23 J8:J23">
    <cfRule type="containsText" dxfId="461" priority="7" operator="containsText" text="vaba voor">
      <formula>NOT(ISERROR(SEARCH("vaba voor",F8)))</formula>
    </cfRule>
  </conditionalFormatting>
  <conditionalFormatting sqref="W8:W23">
    <cfRule type="expression" dxfId="460" priority="12">
      <formula>IF($W8&gt;$Y8,TRUE)</formula>
    </cfRule>
  </conditionalFormatting>
  <conditionalFormatting sqref="Y8:Y23">
    <cfRule type="expression" dxfId="459" priority="13">
      <formula>IF($W8&lt;$Y8,TRUE)</formula>
    </cfRule>
  </conditionalFormatting>
  <conditionalFormatting sqref="C8:F23">
    <cfRule type="expression" dxfId="458" priority="17">
      <formula>IF(AND(ISNUMBER($C8),$C8=$E8),TRUE)</formula>
    </cfRule>
    <cfRule type="expression" dxfId="457" priority="19">
      <formula>IF($C8&gt;$E8,TRUE)</formula>
    </cfRule>
    <cfRule type="expression" dxfId="456" priority="20">
      <formula>IF($C8&lt;$E8,TRUE)</formula>
    </cfRule>
  </conditionalFormatting>
  <conditionalFormatting sqref="G8:J23">
    <cfRule type="expression" dxfId="455" priority="18">
      <formula>IF(AND(ISNUMBER($G8),$G8=$I8),TRUE)</formula>
    </cfRule>
    <cfRule type="expression" dxfId="454" priority="23">
      <formula>IF($G8&gt;$I8,TRUE)</formula>
    </cfRule>
    <cfRule type="expression" dxfId="453" priority="24">
      <formula>IF($G8&lt;$I8,TRUE)</formula>
    </cfRule>
  </conditionalFormatting>
  <conditionalFormatting sqref="K8:N23">
    <cfRule type="expression" dxfId="452" priority="16">
      <formula>IF(AND(ISNUMBER($K8),$K8=$M8),TRUE)</formula>
    </cfRule>
    <cfRule type="expression" dxfId="451" priority="27">
      <formula>IF($K8&gt;$M8,TRUE)</formula>
    </cfRule>
    <cfRule type="expression" dxfId="450" priority="28">
      <formula>IF($K8&lt;$M8,TRUE)</formula>
    </cfRule>
  </conditionalFormatting>
  <conditionalFormatting sqref="O8:R23">
    <cfRule type="expression" dxfId="449" priority="15">
      <formula>IF(AND(ISNUMBER($O8),$O8=$Q8),TRUE)</formula>
    </cfRule>
    <cfRule type="expression" dxfId="448" priority="31">
      <formula>IF($O8&gt;$Q8,TRUE)</formula>
    </cfRule>
    <cfRule type="expression" dxfId="447" priority="32">
      <formula>IF($O8&lt;$Q8,TRUE)</formula>
    </cfRule>
  </conditionalFormatting>
  <conditionalFormatting sqref="S8:V23">
    <cfRule type="expression" dxfId="446" priority="14">
      <formula>IF(AND(ISNUMBER($S8),$S8=$U8),TRUE)</formula>
    </cfRule>
    <cfRule type="expression" dxfId="445" priority="35">
      <formula>IF($S8&gt;$U8,TRUE)</formula>
    </cfRule>
    <cfRule type="expression" dxfId="444" priority="36">
      <formula>IF($S8&lt;$U8,TRUE)</formula>
    </cfRule>
  </conditionalFormatting>
  <conditionalFormatting sqref="W8:Z23">
    <cfRule type="expression" dxfId="443" priority="9">
      <formula>IF(AND(ISNUMBER($W8),$W8=$Y8),TRUE)</formula>
    </cfRule>
    <cfRule type="expression" dxfId="442" priority="10">
      <formula>IF($W8&gt;$Y8,TRUE)</formula>
    </cfRule>
    <cfRule type="expression" dxfId="441" priority="11">
      <formula>IF($W8&lt;$Y8,TRUE)</formula>
    </cfRule>
  </conditionalFormatting>
  <conditionalFormatting sqref="C8:C23 G8:G23 K8:K23 O8:O23 S8:S23 W8:W23">
    <cfRule type="expression" dxfId="440" priority="1">
      <formula>AND(C8=0,E8=13)</formula>
    </cfRule>
  </conditionalFormatting>
  <conditionalFormatting sqref="E8:E23 I8:I23 M8:M23 Q8:Q23 U8:U23 Y8:Y23">
    <cfRule type="expression" dxfId="439" priority="2">
      <formula>AND(E8=0,C8=13)</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CFFCC"/>
    <pageSetUpPr fitToPage="1"/>
  </sheetPr>
  <dimension ref="A1:AQ319"/>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33.140625" style="32" bestFit="1"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UPPER((Kalend!E33)&amp;" - "&amp;(Kalend!C33)&amp;" - "&amp;(Kalend!D33))</f>
        <v>V7 - VOKA 5. KV 7.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"&amp;(Kalend!A33)&amp;" kell "&amp;(Kalend!B33)</f>
        <v>Toimumisaeg: K, 01.08.2018 kell 18:00</v>
      </c>
      <c r="Y2" s="56" t="s">
        <v>449</v>
      </c>
      <c r="AE2" s="56" t="s">
        <v>449</v>
      </c>
    </row>
    <row r="3" spans="1:42" x14ac:dyDescent="0.2">
      <c r="A3" s="2" t="str">
        <f>"Toimumiskoht: "&amp;(Kalend!F33)</f>
        <v>Toimumiskoht: Voka staadion</v>
      </c>
      <c r="G3" s="1337"/>
      <c r="H3" s="1337"/>
      <c r="I3" s="1338" t="s">
        <v>446</v>
      </c>
      <c r="J3" s="659">
        <v>1</v>
      </c>
      <c r="K3" s="188" t="s">
        <v>493</v>
      </c>
    </row>
    <row r="4" spans="1:42" x14ac:dyDescent="0.2">
      <c r="A4" s="2" t="str">
        <f>"Korraldaja: "&amp;(Kalend!G33)</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22" t="s">
        <v>605</v>
      </c>
      <c r="C8" s="1323">
        <v>13</v>
      </c>
      <c r="D8" s="1324" t="s">
        <v>211</v>
      </c>
      <c r="E8" s="1325">
        <v>6</v>
      </c>
      <c r="F8" s="1315" t="str">
        <f>B15</f>
        <v>Elmo Lageda, Tõnu Piik</v>
      </c>
      <c r="G8" s="1323">
        <v>13</v>
      </c>
      <c r="H8" s="1324" t="s">
        <v>211</v>
      </c>
      <c r="I8" s="1325">
        <v>4</v>
      </c>
      <c r="J8" s="1315" t="str">
        <f>B10</f>
        <v>Oksana Sažina, Oleg Rõndenkov</v>
      </c>
      <c r="K8" s="1323">
        <v>13</v>
      </c>
      <c r="L8" s="1324" t="s">
        <v>211</v>
      </c>
      <c r="M8" s="1325">
        <v>3</v>
      </c>
      <c r="N8" s="1315" t="str">
        <f>B11</f>
        <v>Kenneth Muusikus, Urmas Randlaine</v>
      </c>
      <c r="O8" s="1323">
        <v>13</v>
      </c>
      <c r="P8" s="1324" t="s">
        <v>211</v>
      </c>
      <c r="Q8" s="1325">
        <v>3</v>
      </c>
      <c r="R8" s="1315" t="str">
        <f>B9</f>
        <v>Boriss Klubov, Mait Metsla</v>
      </c>
      <c r="S8" s="1323">
        <v>13</v>
      </c>
      <c r="T8" s="1324" t="s">
        <v>211</v>
      </c>
      <c r="U8" s="1325">
        <v>4</v>
      </c>
      <c r="V8" s="1315" t="str">
        <f>B14</f>
        <v>Illar Tõnurist, Jaan Saar</v>
      </c>
      <c r="W8" s="1323"/>
      <c r="X8" s="1324" t="s">
        <v>211</v>
      </c>
      <c r="Y8" s="1325"/>
      <c r="Z8" s="1315"/>
      <c r="AA8" s="1330">
        <f t="shared" ref="AA8:AA17" si="0">IF(C8&gt;E8,J$3,IF(C8&lt;E8,J$5,IF(ISNUMBER(C8),J$4,0)))+IF(G8&gt;I8,J$3,IF(G8&lt;I8,J$5,IF(ISNUMBER(G8),J$4,0)))+IF(K8&gt;M8,J$3,IF(K8&lt;M8,J$5,IF(ISNUMBER(K8),J$4,0)))+IF(O8&gt;Q8,J$3,IF(O8&lt;Q8,J$5,IF(ISNUMBER(O8),J$4,0)))+IF(S8&gt;U8,J$3,IF(S8&lt;U8,J$5,IF(ISNUMBER(S8),J$4,0)))+IF(W8&gt;Y8,J$3,IF(W8&lt;Y8,J$5,IF(ISNUMBER(W8),J$4,0)))</f>
        <v>5</v>
      </c>
      <c r="AB8" s="1331"/>
      <c r="AC8" s="1323">
        <f t="shared" ref="AC8:AC17" si="1">C8+G8+K8+O8+S8+W8</f>
        <v>65</v>
      </c>
      <c r="AD8" s="1324" t="s">
        <v>211</v>
      </c>
      <c r="AE8" s="1326">
        <f t="shared" ref="AE8:AE17" si="2">E8+I8+M8+Q8+U8+Y8</f>
        <v>20</v>
      </c>
      <c r="AF8" s="1327">
        <f t="shared" ref="AF8:AF17" si="3">AC8-AE8</f>
        <v>45</v>
      </c>
      <c r="AG8" s="663"/>
      <c r="AH8" s="499">
        <f t="shared" ref="AH8" si="4">SUM(AJ8:AP8)</f>
        <v>92.5</v>
      </c>
      <c r="AI8" s="605" t="str">
        <f t="shared" ref="AI8:AI17" si="5">IFERROR(LEFT($B8,(FIND(",",$B8,1)-1)),"")</f>
        <v>Andrei Grintšak</v>
      </c>
      <c r="AJ8" s="604">
        <f>IFERROR(INDEX(V!$N:$N,MATCH(AI8,V!$I:$I,0)),"")</f>
        <v>33.5</v>
      </c>
      <c r="AK8" s="605" t="str">
        <f t="shared" ref="AK8:AK17" si="6">IFERROR(MID($B8,FIND(", ",$B8)+2,256),"")</f>
        <v>Johannes Neiland</v>
      </c>
      <c r="AL8" s="604">
        <f>IFERROR(INDEX(V!$N:$N,MATCH(AK8,V!$I:$I,0)),"")</f>
        <v>59</v>
      </c>
      <c r="AM8" s="603" t="str">
        <f t="shared" ref="AM8:AM17" si="7">IFERROR(MID($B8,FIND("^",SUBSTITUTE($B8,", ","^",1))+2,FIND("^",SUBSTITUTE($B8,", ","^",2))-FIND("^",SUBSTITUTE($B8,", ","^",1))-2),"")</f>
        <v/>
      </c>
      <c r="AN8" s="604" t="str">
        <f>IFERROR(INDEX(V!$N:$N,MATCH(AM8,V!$I:$I,0)),"")</f>
        <v/>
      </c>
      <c r="AO8" s="603" t="str">
        <f t="shared" ref="AO8:AO17" si="8">IFERROR(MID($B8,FIND(", ",$B8,FIND(", ",$B8,FIND(", ",$B8))+1)+2,700),"")</f>
        <v/>
      </c>
      <c r="AP8" s="604" t="str">
        <f>IFERROR(INDEX(V!$N:$N,MATCH(AO8,V!$I:$I,0)),"")</f>
        <v/>
      </c>
    </row>
    <row r="9" spans="1:42" ht="12.75" customHeight="1" x14ac:dyDescent="0.2">
      <c r="A9" s="1319">
        <v>2</v>
      </c>
      <c r="B9" s="1322" t="s">
        <v>566</v>
      </c>
      <c r="C9" s="1323">
        <v>13</v>
      </c>
      <c r="D9" s="1324" t="s">
        <v>211</v>
      </c>
      <c r="E9" s="1325">
        <v>4</v>
      </c>
      <c r="F9" s="1315" t="str">
        <f>B16</f>
        <v>Meelis Luud, Tarmo Bombe</v>
      </c>
      <c r="G9" s="1323">
        <v>9</v>
      </c>
      <c r="H9" s="1324" t="s">
        <v>211</v>
      </c>
      <c r="I9" s="1325">
        <v>7</v>
      </c>
      <c r="J9" s="1315" t="str">
        <f>B14</f>
        <v>Illar Tõnurist, Jaan Saar</v>
      </c>
      <c r="K9" s="1323">
        <v>13</v>
      </c>
      <c r="L9" s="1324" t="s">
        <v>211</v>
      </c>
      <c r="M9" s="1325">
        <v>6</v>
      </c>
      <c r="N9" s="1315" t="str">
        <f>B12</f>
        <v>Jaan Sepp, Oskar Sepp</v>
      </c>
      <c r="O9" s="1323">
        <v>3</v>
      </c>
      <c r="P9" s="1324" t="s">
        <v>211</v>
      </c>
      <c r="Q9" s="1325">
        <v>13</v>
      </c>
      <c r="R9" s="1315" t="str">
        <f>B8</f>
        <v>Andrei Grintšak, Johannes Neiland</v>
      </c>
      <c r="S9" s="1323">
        <v>11</v>
      </c>
      <c r="T9" s="1324" t="s">
        <v>211</v>
      </c>
      <c r="U9" s="1325">
        <v>10</v>
      </c>
      <c r="V9" s="1315" t="str">
        <f>B11</f>
        <v>Kenneth Muusikus, Urmas Randlaine</v>
      </c>
      <c r="W9" s="1323"/>
      <c r="X9" s="1324" t="s">
        <v>211</v>
      </c>
      <c r="Y9" s="1325"/>
      <c r="Z9" s="1315"/>
      <c r="AA9" s="1335">
        <f t="shared" si="0"/>
        <v>4</v>
      </c>
      <c r="AB9" s="1331"/>
      <c r="AC9" s="1323">
        <f t="shared" si="1"/>
        <v>49</v>
      </c>
      <c r="AD9" s="1324" t="s">
        <v>211</v>
      </c>
      <c r="AE9" s="1326">
        <f t="shared" si="2"/>
        <v>40</v>
      </c>
      <c r="AF9" s="1327">
        <f t="shared" si="3"/>
        <v>9</v>
      </c>
      <c r="AG9" s="663"/>
      <c r="AH9" s="499">
        <f t="shared" ref="AH9:AH17" si="9">SUM(AJ9:AP9)</f>
        <v>154</v>
      </c>
      <c r="AI9" s="605" t="str">
        <f t="shared" si="5"/>
        <v>Boriss Klubov</v>
      </c>
      <c r="AJ9" s="604">
        <f>IFERROR(INDEX(V!$N:$N,MATCH(AI9,V!$I:$I,0)),"")</f>
        <v>65</v>
      </c>
      <c r="AK9" s="605" t="str">
        <f t="shared" si="6"/>
        <v>Mait Metsla</v>
      </c>
      <c r="AL9" s="604">
        <f>IFERROR(INDEX(V!$N:$N,MATCH(AK9,V!$I:$I,0)),"")</f>
        <v>89</v>
      </c>
      <c r="AM9" s="603" t="str">
        <f t="shared" si="7"/>
        <v/>
      </c>
      <c r="AN9" s="604" t="str">
        <f>IFERROR(INDEX(V!$N:$N,MATCH(AM9,V!$I:$I,0)),"")</f>
        <v/>
      </c>
      <c r="AO9" s="603" t="str">
        <f t="shared" si="8"/>
        <v/>
      </c>
      <c r="AP9" s="604" t="str">
        <f>IFERROR(INDEX(V!$N:$N,MATCH(AO9,V!$I:$I,0)),"")</f>
        <v/>
      </c>
    </row>
    <row r="10" spans="1:42" ht="12.75" customHeight="1" x14ac:dyDescent="0.2">
      <c r="A10" s="1319">
        <v>2</v>
      </c>
      <c r="B10" s="1328" t="s">
        <v>35</v>
      </c>
      <c r="C10" s="1323">
        <v>13</v>
      </c>
      <c r="D10" s="1324" t="s">
        <v>211</v>
      </c>
      <c r="E10" s="1325">
        <v>4</v>
      </c>
      <c r="F10" s="1315" t="str">
        <f>B17</f>
        <v>Rein Allikas, Urmas Jõeäär</v>
      </c>
      <c r="G10" s="1323">
        <v>4</v>
      </c>
      <c r="H10" s="1324" t="s">
        <v>211</v>
      </c>
      <c r="I10" s="1325">
        <v>13</v>
      </c>
      <c r="J10" s="1315" t="str">
        <f>B8</f>
        <v>Andrei Grintšak, Johannes Neiland</v>
      </c>
      <c r="K10" s="1323">
        <v>13</v>
      </c>
      <c r="L10" s="1324" t="s">
        <v>211</v>
      </c>
      <c r="M10" s="1325">
        <v>3</v>
      </c>
      <c r="N10" s="1315" t="str">
        <f>B13</f>
        <v>Karla Purgats, Lemmit Toomra</v>
      </c>
      <c r="O10" s="1323">
        <v>13</v>
      </c>
      <c r="P10" s="1324" t="s">
        <v>211</v>
      </c>
      <c r="Q10" s="1325">
        <v>12</v>
      </c>
      <c r="R10" s="1315" t="str">
        <f>B11</f>
        <v>Kenneth Muusikus, Urmas Randlaine</v>
      </c>
      <c r="S10" s="1323">
        <v>13</v>
      </c>
      <c r="T10" s="1324" t="s">
        <v>211</v>
      </c>
      <c r="U10" s="1325">
        <v>5</v>
      </c>
      <c r="V10" s="1315" t="str">
        <f>B12</f>
        <v>Jaan Sepp, Oskar Sepp</v>
      </c>
      <c r="W10" s="1323"/>
      <c r="X10" s="1324" t="s">
        <v>211</v>
      </c>
      <c r="Y10" s="1325"/>
      <c r="Z10" s="1315"/>
      <c r="AA10" s="1335">
        <f t="shared" si="0"/>
        <v>4</v>
      </c>
      <c r="AB10" s="1331"/>
      <c r="AC10" s="1323">
        <f t="shared" si="1"/>
        <v>56</v>
      </c>
      <c r="AD10" s="1324" t="s">
        <v>211</v>
      </c>
      <c r="AE10" s="1326">
        <f t="shared" si="2"/>
        <v>37</v>
      </c>
      <c r="AF10" s="1327">
        <f t="shared" si="3"/>
        <v>19</v>
      </c>
      <c r="AG10" s="663"/>
      <c r="AH10" s="499">
        <f t="shared" si="9"/>
        <v>137</v>
      </c>
      <c r="AI10" s="605" t="str">
        <f t="shared" si="5"/>
        <v>Oksana Sažina</v>
      </c>
      <c r="AJ10" s="604">
        <f>IFERROR(INDEX(V!$N:$N,MATCH(AI10,V!$I:$I,0)),"")</f>
        <v>72</v>
      </c>
      <c r="AK10" s="605" t="str">
        <f t="shared" si="6"/>
        <v>Oleg Rõndenkov</v>
      </c>
      <c r="AL10" s="604">
        <f>IFERROR(INDEX(V!$N:$N,MATCH(AK10,V!$I:$I,0)),"")</f>
        <v>65</v>
      </c>
      <c r="AM10" s="603" t="str">
        <f t="shared" si="7"/>
        <v/>
      </c>
      <c r="AN10" s="604" t="str">
        <f>IFERROR(INDEX(V!$N:$N,MATCH(AM10,V!$I:$I,0)),"")</f>
        <v/>
      </c>
      <c r="AO10" s="603" t="str">
        <f t="shared" si="8"/>
        <v/>
      </c>
      <c r="AP10" s="604" t="str">
        <f>IFERROR(INDEX(V!$N:$N,MATCH(AO10,V!$I:$I,0)),"")</f>
        <v/>
      </c>
    </row>
    <row r="11" spans="1:42" ht="12.75" customHeight="1" x14ac:dyDescent="0.2">
      <c r="A11" s="1319">
        <v>4</v>
      </c>
      <c r="B11" s="1328" t="s">
        <v>604</v>
      </c>
      <c r="C11" s="1323">
        <v>13</v>
      </c>
      <c r="D11" s="1324" t="s">
        <v>211</v>
      </c>
      <c r="E11" s="1325">
        <v>7</v>
      </c>
      <c r="F11" s="1315" t="str">
        <f>B13</f>
        <v>Karla Purgats, Lemmit Toomra</v>
      </c>
      <c r="G11" s="1323">
        <v>13</v>
      </c>
      <c r="H11" s="1324" t="s">
        <v>211</v>
      </c>
      <c r="I11" s="1325">
        <v>10</v>
      </c>
      <c r="J11" s="1315" t="str">
        <f>B12</f>
        <v>Jaan Sepp, Oskar Sepp</v>
      </c>
      <c r="K11" s="1323">
        <v>3</v>
      </c>
      <c r="L11" s="1324" t="s">
        <v>211</v>
      </c>
      <c r="M11" s="1325">
        <v>13</v>
      </c>
      <c r="N11" s="1315" t="str">
        <f>B8</f>
        <v>Andrei Grintšak, Johannes Neiland</v>
      </c>
      <c r="O11" s="1323">
        <v>12</v>
      </c>
      <c r="P11" s="1324" t="s">
        <v>211</v>
      </c>
      <c r="Q11" s="1325">
        <v>13</v>
      </c>
      <c r="R11" s="1315" t="str">
        <f>B10</f>
        <v>Oksana Sažina, Oleg Rõndenkov</v>
      </c>
      <c r="S11" s="1323">
        <v>10</v>
      </c>
      <c r="T11" s="1324" t="s">
        <v>211</v>
      </c>
      <c r="U11" s="1325">
        <v>11</v>
      </c>
      <c r="V11" s="1315" t="str">
        <f>B9</f>
        <v>Boriss Klubov, Mait Metsla</v>
      </c>
      <c r="W11" s="1323"/>
      <c r="X11" s="1324" t="s">
        <v>211</v>
      </c>
      <c r="Y11" s="1325"/>
      <c r="Z11" s="1315"/>
      <c r="AA11" s="1330">
        <f t="shared" si="0"/>
        <v>2</v>
      </c>
      <c r="AB11" s="1331"/>
      <c r="AC11" s="1323">
        <f t="shared" si="1"/>
        <v>51</v>
      </c>
      <c r="AD11" s="1324" t="s">
        <v>211</v>
      </c>
      <c r="AE11" s="1326">
        <f t="shared" si="2"/>
        <v>54</v>
      </c>
      <c r="AF11" s="1327">
        <f t="shared" si="3"/>
        <v>-3</v>
      </c>
      <c r="AG11" s="663"/>
      <c r="AH11" s="499">
        <f t="shared" si="9"/>
        <v>140.5</v>
      </c>
      <c r="AI11" s="605" t="str">
        <f t="shared" si="5"/>
        <v>Kenneth Muusikus</v>
      </c>
      <c r="AJ11" s="604">
        <f>IFERROR(INDEX(V!$N:$N,MATCH(AI11,V!$I:$I,0)),"")</f>
        <v>87</v>
      </c>
      <c r="AK11" s="605" t="str">
        <f t="shared" si="6"/>
        <v>Urmas Randlaine</v>
      </c>
      <c r="AL11" s="604">
        <f>IFERROR(INDEX(V!$N:$N,MATCH(AK11,V!$I:$I,0)),"")</f>
        <v>53.5</v>
      </c>
      <c r="AM11" s="603" t="str">
        <f t="shared" si="7"/>
        <v/>
      </c>
      <c r="AN11" s="604" t="str">
        <f>IFERROR(INDEX(V!$N:$N,MATCH(AM11,V!$I:$I,0)),"")</f>
        <v/>
      </c>
      <c r="AO11" s="603" t="str">
        <f t="shared" si="8"/>
        <v/>
      </c>
      <c r="AP11" s="604" t="str">
        <f>IFERROR(INDEX(V!$N:$N,MATCH(AO11,V!$I:$I,0)),"")</f>
        <v/>
      </c>
    </row>
    <row r="12" spans="1:42" ht="12.75" customHeight="1" x14ac:dyDescent="0.2">
      <c r="A12" s="1319">
        <v>5</v>
      </c>
      <c r="B12" s="1328" t="s">
        <v>440</v>
      </c>
      <c r="C12" s="1323">
        <v>13</v>
      </c>
      <c r="D12" s="1324" t="s">
        <v>211</v>
      </c>
      <c r="E12" s="1325">
        <v>9</v>
      </c>
      <c r="F12" s="1315" t="str">
        <f>B14</f>
        <v>Illar Tõnurist, Jaan Saar</v>
      </c>
      <c r="G12" s="1323">
        <v>10</v>
      </c>
      <c r="H12" s="1324" t="s">
        <v>211</v>
      </c>
      <c r="I12" s="1325">
        <v>13</v>
      </c>
      <c r="J12" s="1315" t="str">
        <f>B11</f>
        <v>Kenneth Muusikus, Urmas Randlaine</v>
      </c>
      <c r="K12" s="1323">
        <v>6</v>
      </c>
      <c r="L12" s="1324" t="s">
        <v>211</v>
      </c>
      <c r="M12" s="1325">
        <v>13</v>
      </c>
      <c r="N12" s="1315" t="str">
        <f>B9</f>
        <v>Boriss Klubov, Mait Metsla</v>
      </c>
      <c r="O12" s="1323">
        <v>13</v>
      </c>
      <c r="P12" s="1324" t="s">
        <v>211</v>
      </c>
      <c r="Q12" s="1325">
        <v>4</v>
      </c>
      <c r="R12" s="1315" t="str">
        <f>B16</f>
        <v>Meelis Luud, Tarmo Bombe</v>
      </c>
      <c r="S12" s="1323">
        <v>5</v>
      </c>
      <c r="T12" s="1324" t="s">
        <v>211</v>
      </c>
      <c r="U12" s="1325">
        <v>13</v>
      </c>
      <c r="V12" s="1315" t="str">
        <f>B10</f>
        <v>Oksana Sažina, Oleg Rõndenkov</v>
      </c>
      <c r="W12" s="1323"/>
      <c r="X12" s="1324" t="s">
        <v>211</v>
      </c>
      <c r="Y12" s="1325"/>
      <c r="Z12" s="1315"/>
      <c r="AA12" s="1330">
        <f t="shared" si="0"/>
        <v>2</v>
      </c>
      <c r="AB12" s="1331"/>
      <c r="AC12" s="1323">
        <f t="shared" si="1"/>
        <v>47</v>
      </c>
      <c r="AD12" s="1324" t="s">
        <v>211</v>
      </c>
      <c r="AE12" s="1326">
        <f t="shared" si="2"/>
        <v>52</v>
      </c>
      <c r="AF12" s="1327">
        <f t="shared" si="3"/>
        <v>-5</v>
      </c>
      <c r="AG12" s="663"/>
      <c r="AH12" s="499">
        <f t="shared" si="9"/>
        <v>154</v>
      </c>
      <c r="AI12" s="605" t="str">
        <f t="shared" si="5"/>
        <v>Jaan Sepp</v>
      </c>
      <c r="AJ12" s="604">
        <f>IFERROR(INDEX(V!$N:$N,MATCH(AI12,V!$I:$I,0)),"")</f>
        <v>98</v>
      </c>
      <c r="AK12" s="605" t="str">
        <f t="shared" si="6"/>
        <v>Oskar Sepp</v>
      </c>
      <c r="AL12" s="604">
        <f>IFERROR(INDEX(V!$N:$N,MATCH(AK12,V!$I:$I,0)),"")</f>
        <v>56</v>
      </c>
      <c r="AM12" s="603" t="str">
        <f t="shared" si="7"/>
        <v/>
      </c>
      <c r="AN12" s="604" t="str">
        <f>IFERROR(INDEX(V!$N:$N,MATCH(AM12,V!$I:$I,0)),"")</f>
        <v/>
      </c>
      <c r="AO12" s="603" t="str">
        <f t="shared" si="8"/>
        <v/>
      </c>
      <c r="AP12" s="604" t="str">
        <f>IFERROR(INDEX(V!$N:$N,MATCH(AO12,V!$I:$I,0)),"")</f>
        <v/>
      </c>
    </row>
    <row r="13" spans="1:42" ht="12.75" customHeight="1" x14ac:dyDescent="0.2">
      <c r="A13" s="1319">
        <v>6</v>
      </c>
      <c r="B13" s="1328" t="s">
        <v>441</v>
      </c>
      <c r="C13" s="1323">
        <v>7</v>
      </c>
      <c r="D13" s="1324" t="s">
        <v>211</v>
      </c>
      <c r="E13" s="1325">
        <v>13</v>
      </c>
      <c r="F13" s="1315" t="str">
        <f>B11</f>
        <v>Kenneth Muusikus, Urmas Randlaine</v>
      </c>
      <c r="G13" s="1323">
        <v>13</v>
      </c>
      <c r="H13" s="1324" t="s">
        <v>211</v>
      </c>
      <c r="I13" s="1325">
        <v>5</v>
      </c>
      <c r="J13" s="1315" t="str">
        <f>B15</f>
        <v>Elmo Lageda, Tõnu Piik</v>
      </c>
      <c r="K13" s="1323">
        <v>3</v>
      </c>
      <c r="L13" s="1324" t="s">
        <v>211</v>
      </c>
      <c r="M13" s="1325">
        <v>13</v>
      </c>
      <c r="N13" s="1315" t="str">
        <f>B10</f>
        <v>Oksana Sažina, Oleg Rõndenkov</v>
      </c>
      <c r="O13" s="1323">
        <v>5</v>
      </c>
      <c r="P13" s="1324" t="s">
        <v>211</v>
      </c>
      <c r="Q13" s="1325">
        <v>13</v>
      </c>
      <c r="R13" s="1315" t="str">
        <f>B17</f>
        <v>Rein Allikas, Urmas Jõeäär</v>
      </c>
      <c r="S13" s="1323">
        <v>13</v>
      </c>
      <c r="T13" s="1324" t="s">
        <v>211</v>
      </c>
      <c r="U13" s="1325">
        <v>8</v>
      </c>
      <c r="V13" s="1315" t="str">
        <f>B16</f>
        <v>Meelis Luud, Tarmo Bombe</v>
      </c>
      <c r="W13" s="1323"/>
      <c r="X13" s="1324" t="s">
        <v>211</v>
      </c>
      <c r="Y13" s="1325"/>
      <c r="Z13" s="1315"/>
      <c r="AA13" s="1330">
        <f t="shared" si="0"/>
        <v>2</v>
      </c>
      <c r="AB13" s="1331"/>
      <c r="AC13" s="1323">
        <f t="shared" si="1"/>
        <v>41</v>
      </c>
      <c r="AD13" s="1324" t="s">
        <v>211</v>
      </c>
      <c r="AE13" s="1326">
        <f t="shared" si="2"/>
        <v>52</v>
      </c>
      <c r="AF13" s="1327">
        <f t="shared" si="3"/>
        <v>-11</v>
      </c>
      <c r="AG13" s="663"/>
      <c r="AH13" s="499">
        <f t="shared" si="9"/>
        <v>92</v>
      </c>
      <c r="AI13" s="605" t="str">
        <f t="shared" si="5"/>
        <v>Karla Purgats</v>
      </c>
      <c r="AJ13" s="604">
        <f>IFERROR(INDEX(V!$N:$N,MATCH(AI13,V!$I:$I,0)),"")</f>
        <v>46.5</v>
      </c>
      <c r="AK13" s="605" t="str">
        <f t="shared" si="6"/>
        <v>Lemmit Toomra</v>
      </c>
      <c r="AL13" s="604">
        <f>IFERROR(INDEX(V!$N:$N,MATCH(AK13,V!$I:$I,0)),"")</f>
        <v>45.5</v>
      </c>
      <c r="AM13" s="603" t="str">
        <f t="shared" si="7"/>
        <v/>
      </c>
      <c r="AN13" s="604" t="str">
        <f>IFERROR(INDEX(V!$N:$N,MATCH(AM13,V!$I:$I,0)),"")</f>
        <v/>
      </c>
      <c r="AO13" s="603" t="str">
        <f t="shared" si="8"/>
        <v/>
      </c>
      <c r="AP13" s="604" t="str">
        <f>IFERROR(INDEX(V!$N:$N,MATCH(AO13,V!$I:$I,0)),"")</f>
        <v/>
      </c>
    </row>
    <row r="14" spans="1:42" ht="12.75" customHeight="1" x14ac:dyDescent="0.2">
      <c r="A14" s="1319">
        <v>7</v>
      </c>
      <c r="B14" s="1328" t="s">
        <v>36</v>
      </c>
      <c r="C14" s="1323">
        <v>9</v>
      </c>
      <c r="D14" s="1324" t="s">
        <v>211</v>
      </c>
      <c r="E14" s="1325">
        <v>13</v>
      </c>
      <c r="F14" s="1315" t="str">
        <f>B12</f>
        <v>Jaan Sepp, Oskar Sepp</v>
      </c>
      <c r="G14" s="1323">
        <v>7</v>
      </c>
      <c r="H14" s="1324" t="s">
        <v>211</v>
      </c>
      <c r="I14" s="1325">
        <v>9</v>
      </c>
      <c r="J14" s="1315" t="str">
        <f>B9</f>
        <v>Boriss Klubov, Mait Metsla</v>
      </c>
      <c r="K14" s="1323">
        <v>13</v>
      </c>
      <c r="L14" s="1324" t="s">
        <v>211</v>
      </c>
      <c r="M14" s="1325">
        <v>8</v>
      </c>
      <c r="N14" s="1315" t="str">
        <f>B17</f>
        <v>Rein Allikas, Urmas Jõeäär</v>
      </c>
      <c r="O14" s="1323">
        <v>13</v>
      </c>
      <c r="P14" s="1324" t="s">
        <v>211</v>
      </c>
      <c r="Q14" s="1325">
        <v>8</v>
      </c>
      <c r="R14" s="1315" t="str">
        <f>B15</f>
        <v>Elmo Lageda, Tõnu Piik</v>
      </c>
      <c r="S14" s="1323">
        <v>4</v>
      </c>
      <c r="T14" s="1324" t="s">
        <v>211</v>
      </c>
      <c r="U14" s="1325">
        <v>13</v>
      </c>
      <c r="V14" s="1315" t="str">
        <f>B8</f>
        <v>Andrei Grintšak, Johannes Neiland</v>
      </c>
      <c r="W14" s="1323"/>
      <c r="X14" s="1324" t="s">
        <v>211</v>
      </c>
      <c r="Y14" s="1325"/>
      <c r="Z14" s="1315"/>
      <c r="AA14" s="1330">
        <f t="shared" si="0"/>
        <v>2</v>
      </c>
      <c r="AB14" s="1331"/>
      <c r="AC14" s="1323">
        <f t="shared" si="1"/>
        <v>46</v>
      </c>
      <c r="AD14" s="1324" t="s">
        <v>211</v>
      </c>
      <c r="AE14" s="1326">
        <f t="shared" si="2"/>
        <v>51</v>
      </c>
      <c r="AF14" s="1327">
        <f t="shared" si="3"/>
        <v>-5</v>
      </c>
      <c r="AG14" s="663"/>
      <c r="AH14" s="499">
        <f t="shared" si="9"/>
        <v>28</v>
      </c>
      <c r="AI14" s="605" t="str">
        <f t="shared" si="5"/>
        <v>Illar Tõnurist</v>
      </c>
      <c r="AJ14" s="604">
        <f>IFERROR(INDEX(V!$N:$N,MATCH(AI14,V!$I:$I,0)),"")</f>
        <v>14</v>
      </c>
      <c r="AK14" s="605" t="str">
        <f t="shared" si="6"/>
        <v>Jaan Saar</v>
      </c>
      <c r="AL14" s="604">
        <f>IFERROR(INDEX(V!$N:$N,MATCH(AK14,V!$I:$I,0)),"")</f>
        <v>14</v>
      </c>
      <c r="AM14" s="603" t="str">
        <f t="shared" si="7"/>
        <v/>
      </c>
      <c r="AN14" s="604" t="str">
        <f>IFERROR(INDEX(V!$N:$N,MATCH(AM14,V!$I:$I,0)),"")</f>
        <v/>
      </c>
      <c r="AO14" s="603" t="str">
        <f t="shared" si="8"/>
        <v/>
      </c>
      <c r="AP14" s="604" t="str">
        <f>IFERROR(INDEX(V!$N:$N,MATCH(AO14,V!$I:$I,0)),"")</f>
        <v/>
      </c>
    </row>
    <row r="15" spans="1:42" ht="12.75" customHeight="1" x14ac:dyDescent="0.2">
      <c r="A15" s="1319">
        <v>8</v>
      </c>
      <c r="B15" s="1328" t="s">
        <v>33</v>
      </c>
      <c r="C15" s="1323">
        <v>6</v>
      </c>
      <c r="D15" s="1324" t="s">
        <v>211</v>
      </c>
      <c r="E15" s="1325">
        <v>13</v>
      </c>
      <c r="F15" s="1315" t="str">
        <f>B8</f>
        <v>Andrei Grintšak, Johannes Neiland</v>
      </c>
      <c r="G15" s="1323">
        <v>5</v>
      </c>
      <c r="H15" s="1324" t="s">
        <v>211</v>
      </c>
      <c r="I15" s="1325">
        <v>13</v>
      </c>
      <c r="J15" s="1315" t="str">
        <f>B13</f>
        <v>Karla Purgats, Lemmit Toomra</v>
      </c>
      <c r="K15" s="1323">
        <v>13</v>
      </c>
      <c r="L15" s="1324" t="s">
        <v>211</v>
      </c>
      <c r="M15" s="1325">
        <v>6</v>
      </c>
      <c r="N15" s="1315" t="str">
        <f>B16</f>
        <v>Meelis Luud, Tarmo Bombe</v>
      </c>
      <c r="O15" s="1323">
        <v>8</v>
      </c>
      <c r="P15" s="1324" t="s">
        <v>211</v>
      </c>
      <c r="Q15" s="1325">
        <v>13</v>
      </c>
      <c r="R15" s="1315" t="str">
        <f>B14</f>
        <v>Illar Tõnurist, Jaan Saar</v>
      </c>
      <c r="S15" s="1323">
        <v>13</v>
      </c>
      <c r="T15" s="1324" t="s">
        <v>211</v>
      </c>
      <c r="U15" s="1325">
        <v>5</v>
      </c>
      <c r="V15" s="1315" t="str">
        <f>B17</f>
        <v>Rein Allikas, Urmas Jõeäär</v>
      </c>
      <c r="W15" s="1323"/>
      <c r="X15" s="1324" t="s">
        <v>211</v>
      </c>
      <c r="Y15" s="1325"/>
      <c r="Z15" s="1315"/>
      <c r="AA15" s="1330">
        <f t="shared" si="0"/>
        <v>2</v>
      </c>
      <c r="AB15" s="1331"/>
      <c r="AC15" s="1323">
        <f t="shared" si="1"/>
        <v>45</v>
      </c>
      <c r="AD15" s="1324" t="s">
        <v>211</v>
      </c>
      <c r="AE15" s="1326">
        <f t="shared" si="2"/>
        <v>50</v>
      </c>
      <c r="AF15" s="1327">
        <f t="shared" si="3"/>
        <v>-5</v>
      </c>
      <c r="AG15" s="663"/>
      <c r="AH15" s="499">
        <f t="shared" si="9"/>
        <v>180</v>
      </c>
      <c r="AI15" s="605" t="str">
        <f t="shared" si="5"/>
        <v>Elmo Lageda</v>
      </c>
      <c r="AJ15" s="604">
        <f>IFERROR(INDEX(V!$N:$N,MATCH(AI15,V!$I:$I,0)),"")</f>
        <v>91</v>
      </c>
      <c r="AK15" s="605" t="str">
        <f t="shared" si="6"/>
        <v>Tõnu Piik</v>
      </c>
      <c r="AL15" s="604">
        <f>IFERROR(INDEX(V!$N:$N,MATCH(AK15,V!$I:$I,0)),"")</f>
        <v>89</v>
      </c>
      <c r="AM15" s="603" t="str">
        <f t="shared" si="7"/>
        <v/>
      </c>
      <c r="AN15" s="604" t="str">
        <f>IFERROR(INDEX(V!$N:$N,MATCH(AM15,V!$I:$I,0)),"")</f>
        <v/>
      </c>
      <c r="AO15" s="603" t="str">
        <f t="shared" si="8"/>
        <v/>
      </c>
      <c r="AP15" s="604" t="str">
        <f>IFERROR(INDEX(V!$N:$N,MATCH(AO15,V!$I:$I,0)),"")</f>
        <v/>
      </c>
    </row>
    <row r="16" spans="1:42" ht="12.75" customHeight="1" x14ac:dyDescent="0.2">
      <c r="A16" s="1319">
        <v>9</v>
      </c>
      <c r="B16" s="1328" t="s">
        <v>603</v>
      </c>
      <c r="C16" s="1323">
        <v>4</v>
      </c>
      <c r="D16" s="1324" t="s">
        <v>211</v>
      </c>
      <c r="E16" s="1325">
        <v>13</v>
      </c>
      <c r="F16" s="1315" t="str">
        <f>B9</f>
        <v>Boriss Klubov, Mait Metsla</v>
      </c>
      <c r="G16" s="1323">
        <v>13</v>
      </c>
      <c r="H16" s="1324" t="s">
        <v>211</v>
      </c>
      <c r="I16" s="1325">
        <v>11</v>
      </c>
      <c r="J16" s="1315" t="str">
        <f>B17</f>
        <v>Rein Allikas, Urmas Jõeäär</v>
      </c>
      <c r="K16" s="1323">
        <v>6</v>
      </c>
      <c r="L16" s="1324" t="s">
        <v>211</v>
      </c>
      <c r="M16" s="1325">
        <v>13</v>
      </c>
      <c r="N16" s="1315" t="str">
        <f>B15</f>
        <v>Elmo Lageda, Tõnu Piik</v>
      </c>
      <c r="O16" s="1323">
        <v>4</v>
      </c>
      <c r="P16" s="1324" t="s">
        <v>211</v>
      </c>
      <c r="Q16" s="1325">
        <v>13</v>
      </c>
      <c r="R16" s="1315" t="str">
        <f>B12</f>
        <v>Jaan Sepp, Oskar Sepp</v>
      </c>
      <c r="S16" s="1323">
        <v>8</v>
      </c>
      <c r="T16" s="1324" t="s">
        <v>211</v>
      </c>
      <c r="U16" s="1325">
        <v>13</v>
      </c>
      <c r="V16" s="1315" t="str">
        <f>B17</f>
        <v>Rein Allikas, Urmas Jõeäär</v>
      </c>
      <c r="W16" s="1323"/>
      <c r="X16" s="1324" t="s">
        <v>211</v>
      </c>
      <c r="Y16" s="1325"/>
      <c r="Z16" s="1315"/>
      <c r="AA16" s="1335">
        <f t="shared" si="0"/>
        <v>1</v>
      </c>
      <c r="AB16" s="1331"/>
      <c r="AC16" s="1323">
        <f t="shared" si="1"/>
        <v>35</v>
      </c>
      <c r="AD16" s="1324" t="s">
        <v>211</v>
      </c>
      <c r="AE16" s="1326">
        <f t="shared" si="2"/>
        <v>63</v>
      </c>
      <c r="AF16" s="1327">
        <f t="shared" si="3"/>
        <v>-28</v>
      </c>
      <c r="AG16" s="663"/>
      <c r="AH16" s="499">
        <f t="shared" si="9"/>
        <v>86.5</v>
      </c>
      <c r="AI16" s="605" t="str">
        <f t="shared" si="5"/>
        <v>Meelis Luud</v>
      </c>
      <c r="AJ16" s="604">
        <f>IFERROR(INDEX(V!$N:$N,MATCH(AI16,V!$I:$I,0)),"")</f>
        <v>60.5</v>
      </c>
      <c r="AK16" s="605" t="str">
        <f t="shared" si="6"/>
        <v>Tarmo Bombe</v>
      </c>
      <c r="AL16" s="604">
        <f>IFERROR(INDEX(V!$N:$N,MATCH(AK16,V!$I:$I,0)),"")</f>
        <v>26</v>
      </c>
      <c r="AM16" s="603" t="str">
        <f t="shared" si="7"/>
        <v/>
      </c>
      <c r="AN16" s="604" t="str">
        <f>IFERROR(INDEX(V!$N:$N,MATCH(AM16,V!$I:$I,0)),"")</f>
        <v/>
      </c>
      <c r="AO16" s="603" t="str">
        <f t="shared" si="8"/>
        <v/>
      </c>
      <c r="AP16" s="604" t="str">
        <f>IFERROR(INDEX(V!$N:$N,MATCH(AO16,V!$I:$I,0)),"")</f>
        <v/>
      </c>
    </row>
    <row r="17" spans="1:43" ht="12.75" customHeight="1" x14ac:dyDescent="0.2">
      <c r="A17" s="1319">
        <v>10</v>
      </c>
      <c r="B17" s="1322" t="s">
        <v>602</v>
      </c>
      <c r="C17" s="1323">
        <v>4</v>
      </c>
      <c r="D17" s="1324" t="s">
        <v>211</v>
      </c>
      <c r="E17" s="1325">
        <v>13</v>
      </c>
      <c r="F17" s="1315" t="str">
        <f>B10</f>
        <v>Oksana Sažina, Oleg Rõndenkov</v>
      </c>
      <c r="G17" s="1323">
        <v>11</v>
      </c>
      <c r="H17" s="1324" t="s">
        <v>211</v>
      </c>
      <c r="I17" s="1325">
        <v>13</v>
      </c>
      <c r="J17" s="1315" t="str">
        <f>B16</f>
        <v>Meelis Luud, Tarmo Bombe</v>
      </c>
      <c r="K17" s="1323">
        <v>8</v>
      </c>
      <c r="L17" s="1324" t="s">
        <v>211</v>
      </c>
      <c r="M17" s="1325">
        <v>13</v>
      </c>
      <c r="N17" s="1315" t="str">
        <f>B14</f>
        <v>Illar Tõnurist, Jaan Saar</v>
      </c>
      <c r="O17" s="1323">
        <v>13</v>
      </c>
      <c r="P17" s="1324" t="s">
        <v>211</v>
      </c>
      <c r="Q17" s="1325">
        <v>5</v>
      </c>
      <c r="R17" s="1315" t="str">
        <f>B13</f>
        <v>Karla Purgats, Lemmit Toomra</v>
      </c>
      <c r="S17" s="1323">
        <v>5</v>
      </c>
      <c r="T17" s="1324" t="s">
        <v>211</v>
      </c>
      <c r="U17" s="1325">
        <v>13</v>
      </c>
      <c r="V17" s="1315" t="str">
        <f>B15</f>
        <v>Elmo Lageda, Tõnu Piik</v>
      </c>
      <c r="W17" s="1323"/>
      <c r="X17" s="1324" t="s">
        <v>211</v>
      </c>
      <c r="Y17" s="1325"/>
      <c r="Z17" s="1315"/>
      <c r="AA17" s="1335">
        <f t="shared" si="0"/>
        <v>1</v>
      </c>
      <c r="AB17" s="1331"/>
      <c r="AC17" s="1323">
        <f t="shared" si="1"/>
        <v>41</v>
      </c>
      <c r="AD17" s="1324" t="s">
        <v>211</v>
      </c>
      <c r="AE17" s="1326">
        <f t="shared" si="2"/>
        <v>57</v>
      </c>
      <c r="AF17" s="1327">
        <f t="shared" si="3"/>
        <v>-16</v>
      </c>
      <c r="AG17" s="663"/>
      <c r="AH17" s="499">
        <f t="shared" si="9"/>
        <v>68.5</v>
      </c>
      <c r="AI17" s="605" t="str">
        <f t="shared" si="5"/>
        <v>Rein Allikas</v>
      </c>
      <c r="AJ17" s="604">
        <f>IFERROR(INDEX(V!$N:$N,MATCH(AI17,V!$I:$I,0)),"")</f>
        <v>1</v>
      </c>
      <c r="AK17" s="605" t="str">
        <f t="shared" si="6"/>
        <v>Urmas Jõeäär</v>
      </c>
      <c r="AL17" s="604">
        <f>IFERROR(INDEX(V!$N:$N,MATCH(AK17,V!$I:$I,0)),"")</f>
        <v>67.5</v>
      </c>
      <c r="AM17" s="603" t="str">
        <f t="shared" si="7"/>
        <v/>
      </c>
      <c r="AN17" s="604" t="str">
        <f>IFERROR(INDEX(V!$N:$N,MATCH(AM17,V!$I:$I,0)),"")</f>
        <v/>
      </c>
      <c r="AO17" s="603" t="str">
        <f t="shared" si="8"/>
        <v/>
      </c>
      <c r="AP17" s="604" t="str">
        <f>IFERROR(INDEX(V!$N:$N,MATCH(AO17,V!$I:$I,0)),"")</f>
        <v/>
      </c>
    </row>
    <row r="18" spans="1:43" ht="12.75" hidden="1" customHeight="1" x14ac:dyDescent="0.2">
      <c r="A18" s="42"/>
      <c r="B18" s="42"/>
      <c r="C18" s="42"/>
      <c r="D18" s="42"/>
      <c r="E18" s="42"/>
      <c r="F18" s="42"/>
      <c r="G18" s="42"/>
      <c r="H18" s="42"/>
      <c r="I18" s="42"/>
      <c r="J18" s="42"/>
      <c r="K18" s="42"/>
      <c r="O18" s="42"/>
      <c r="P18" s="42"/>
      <c r="Q18" s="42"/>
      <c r="R18" s="42"/>
      <c r="S18" s="42"/>
      <c r="X18" s="42"/>
      <c r="Y18" s="42"/>
      <c r="Z18" s="42"/>
      <c r="AA18" s="42"/>
      <c r="AB18" s="42"/>
      <c r="AC18" s="42"/>
      <c r="AD18" s="42"/>
      <c r="AE18" s="42"/>
      <c r="AF18" s="42"/>
      <c r="AG18" s="42"/>
      <c r="AH18" s="42"/>
      <c r="AI18" s="42"/>
      <c r="AJ18" s="42"/>
      <c r="AK18" s="42"/>
      <c r="AL18" s="42"/>
      <c r="AM18" s="42"/>
      <c r="AN18" s="42"/>
      <c r="AO18" s="42"/>
      <c r="AP18" s="42"/>
      <c r="AQ18" s="42"/>
    </row>
    <row r="19" spans="1:43" ht="12.75" hidden="1" customHeight="1" x14ac:dyDescent="0.2">
      <c r="A19" s="42"/>
      <c r="B19" s="42"/>
      <c r="C19" s="42"/>
      <c r="D19" s="42"/>
      <c r="E19" s="42"/>
      <c r="F19" s="42"/>
      <c r="G19" s="42"/>
      <c r="H19" s="42"/>
      <c r="I19" s="42"/>
      <c r="J19" s="42"/>
      <c r="K19" s="42"/>
      <c r="O19" s="42"/>
      <c r="P19" s="42"/>
      <c r="Q19" s="42"/>
      <c r="R19" s="42"/>
      <c r="S19" s="42"/>
      <c r="X19" s="42"/>
      <c r="Y19" s="42"/>
      <c r="Z19" s="42"/>
      <c r="AA19" s="42"/>
      <c r="AB19" s="42"/>
      <c r="AC19" s="42"/>
      <c r="AD19" s="42"/>
      <c r="AE19" s="42"/>
      <c r="AF19" s="42"/>
      <c r="AG19" s="42"/>
      <c r="AH19" s="42"/>
      <c r="AI19" s="42"/>
      <c r="AJ19" s="42"/>
      <c r="AK19" s="42"/>
      <c r="AL19" s="42"/>
      <c r="AM19" s="42"/>
      <c r="AN19" s="42"/>
      <c r="AO19" s="42"/>
      <c r="AP19" s="42"/>
      <c r="AQ19" s="42"/>
    </row>
    <row r="20" spans="1:43" ht="12.75" hidden="1" customHeight="1" x14ac:dyDescent="0.2">
      <c r="A20" s="42"/>
      <c r="B20" s="42"/>
      <c r="C20" s="42"/>
      <c r="D20" s="42"/>
      <c r="E20" s="42"/>
      <c r="F20" s="42"/>
      <c r="G20" s="42"/>
      <c r="H20" s="42"/>
      <c r="I20" s="42"/>
      <c r="J20" s="42"/>
      <c r="K20" s="42"/>
      <c r="O20" s="42"/>
      <c r="P20" s="42"/>
      <c r="Q20" s="42"/>
      <c r="R20" s="42"/>
      <c r="S20" s="42"/>
      <c r="X20" s="42"/>
      <c r="Y20" s="42"/>
      <c r="Z20" s="42"/>
      <c r="AA20" s="42"/>
      <c r="AB20" s="42"/>
      <c r="AC20" s="42"/>
      <c r="AD20" s="42"/>
      <c r="AE20" s="42"/>
      <c r="AF20" s="42"/>
      <c r="AG20" s="42"/>
      <c r="AH20" s="42"/>
      <c r="AI20" s="42"/>
      <c r="AJ20" s="42"/>
      <c r="AK20" s="42"/>
      <c r="AL20" s="42"/>
      <c r="AM20" s="42"/>
      <c r="AN20" s="42"/>
      <c r="AO20" s="42"/>
      <c r="AP20" s="42"/>
      <c r="AQ20" s="42"/>
    </row>
    <row r="21" spans="1:43" ht="12.75" hidden="1" customHeight="1" x14ac:dyDescent="0.2">
      <c r="A21" s="42"/>
      <c r="B21" s="42"/>
      <c r="C21" s="42"/>
      <c r="D21" s="42"/>
      <c r="E21" s="42"/>
      <c r="F21" s="42"/>
      <c r="G21" s="42"/>
      <c r="H21" s="42"/>
      <c r="I21" s="42"/>
      <c r="J21" s="42"/>
      <c r="K21" s="42"/>
      <c r="O21" s="42"/>
      <c r="P21" s="42"/>
      <c r="Q21" s="42"/>
      <c r="R21" s="42"/>
      <c r="S21" s="42"/>
      <c r="X21" s="42"/>
      <c r="Y21" s="42"/>
      <c r="Z21" s="42"/>
      <c r="AA21" s="42"/>
      <c r="AB21" s="42"/>
      <c r="AC21" s="42"/>
      <c r="AD21" s="42"/>
      <c r="AE21" s="42"/>
      <c r="AF21" s="42"/>
      <c r="AG21" s="42"/>
      <c r="AH21" s="42"/>
      <c r="AI21" s="42"/>
      <c r="AJ21" s="42"/>
      <c r="AK21" s="42"/>
      <c r="AL21" s="42"/>
      <c r="AM21" s="42"/>
      <c r="AN21" s="42"/>
      <c r="AO21" s="42"/>
      <c r="AP21" s="42"/>
      <c r="AQ21" s="42"/>
    </row>
    <row r="22" spans="1:43" ht="12.75" hidden="1" customHeight="1" x14ac:dyDescent="0.2">
      <c r="A22" s="42"/>
      <c r="B22" s="42"/>
      <c r="C22" s="42"/>
      <c r="D22" s="42"/>
      <c r="E22" s="42"/>
      <c r="F22" s="42"/>
      <c r="G22" s="42"/>
      <c r="H22" s="42"/>
      <c r="I22" s="42"/>
      <c r="J22" s="42"/>
      <c r="K22" s="42"/>
      <c r="O22" s="42"/>
      <c r="P22" s="42"/>
      <c r="Q22" s="42"/>
      <c r="R22" s="42"/>
      <c r="S22" s="42"/>
      <c r="X22" s="42"/>
      <c r="Y22" s="42"/>
      <c r="Z22" s="42"/>
      <c r="AA22" s="42"/>
      <c r="AB22" s="42"/>
      <c r="AC22" s="42"/>
      <c r="AD22" s="42"/>
      <c r="AE22" s="42"/>
      <c r="AF22" s="42"/>
      <c r="AG22" s="42"/>
      <c r="AH22" s="42"/>
      <c r="AI22" s="42"/>
      <c r="AJ22" s="42"/>
      <c r="AK22" s="42"/>
      <c r="AL22" s="42"/>
      <c r="AM22" s="42"/>
      <c r="AN22" s="42"/>
      <c r="AO22" s="42"/>
      <c r="AP22" s="42"/>
      <c r="AQ22" s="42"/>
    </row>
    <row r="23" spans="1:43" ht="12.75" hidden="1" customHeight="1" x14ac:dyDescent="0.2">
      <c r="A23" s="42"/>
      <c r="B23" s="42"/>
      <c r="C23" s="42"/>
      <c r="D23" s="42"/>
      <c r="E23" s="42"/>
      <c r="F23" s="42"/>
      <c r="G23" s="42"/>
      <c r="H23" s="42"/>
      <c r="I23" s="42"/>
      <c r="J23" s="42"/>
      <c r="K23" s="42"/>
      <c r="O23" s="42"/>
      <c r="P23" s="42"/>
      <c r="Q23" s="42"/>
      <c r="R23" s="42"/>
      <c r="S23" s="42"/>
      <c r="X23" s="42"/>
      <c r="Y23" s="42"/>
      <c r="Z23" s="42"/>
      <c r="AA23" s="42"/>
      <c r="AB23" s="42"/>
      <c r="AC23" s="42"/>
      <c r="AD23" s="42"/>
      <c r="AE23" s="42"/>
      <c r="AF23" s="42"/>
      <c r="AG23" s="42"/>
      <c r="AH23" s="42"/>
      <c r="AI23" s="42"/>
      <c r="AJ23" s="42"/>
      <c r="AK23" s="42"/>
      <c r="AL23" s="42"/>
      <c r="AM23" s="42"/>
      <c r="AN23" s="42"/>
      <c r="AO23" s="42"/>
      <c r="AP23" s="42"/>
      <c r="AQ23" s="42"/>
    </row>
    <row r="24" spans="1:43" ht="12.75" hidden="1" customHeight="1" x14ac:dyDescent="0.2">
      <c r="A24" s="42"/>
      <c r="B24" s="42"/>
      <c r="C24" s="42"/>
      <c r="D24" s="42"/>
      <c r="E24" s="42"/>
      <c r="F24" s="42"/>
      <c r="G24" s="42"/>
      <c r="H24" s="42"/>
      <c r="I24" s="42"/>
      <c r="J24" s="42"/>
      <c r="K24" s="42"/>
      <c r="O24" s="42"/>
      <c r="P24" s="42"/>
      <c r="Q24" s="42"/>
      <c r="R24" s="42"/>
      <c r="S24" s="42"/>
      <c r="X24" s="42"/>
      <c r="Y24" s="42"/>
      <c r="Z24" s="42"/>
      <c r="AA24" s="42"/>
      <c r="AB24" s="42"/>
      <c r="AC24" s="42"/>
      <c r="AD24" s="42"/>
      <c r="AE24" s="42"/>
      <c r="AF24" s="42"/>
      <c r="AG24" s="42"/>
      <c r="AH24" s="42"/>
      <c r="AI24" s="42"/>
      <c r="AJ24" s="42"/>
      <c r="AK24" s="42"/>
      <c r="AL24" s="42"/>
      <c r="AM24" s="42"/>
      <c r="AN24" s="42"/>
      <c r="AO24" s="42"/>
      <c r="AP24" s="42"/>
      <c r="AQ24" s="42"/>
    </row>
    <row r="25" spans="1:43" ht="12.75" hidden="1" customHeight="1" x14ac:dyDescent="0.2">
      <c r="A25" s="42"/>
      <c r="B25" s="42"/>
      <c r="C25" s="42"/>
      <c r="D25" s="42"/>
      <c r="E25" s="42"/>
      <c r="F25" s="42"/>
      <c r="G25" s="42"/>
      <c r="H25" s="42"/>
      <c r="I25" s="42"/>
      <c r="J25" s="42"/>
      <c r="K25" s="42"/>
      <c r="O25" s="42"/>
      <c r="P25" s="42"/>
      <c r="Q25" s="42"/>
      <c r="R25" s="42"/>
      <c r="S25" s="42"/>
      <c r="X25" s="42"/>
      <c r="Y25" s="42"/>
      <c r="Z25" s="42"/>
      <c r="AA25" s="42"/>
      <c r="AB25" s="42"/>
      <c r="AC25" s="42"/>
      <c r="AD25" s="42"/>
      <c r="AE25" s="42"/>
      <c r="AF25" s="42"/>
      <c r="AG25" s="42"/>
      <c r="AH25" s="42"/>
      <c r="AI25" s="42"/>
      <c r="AJ25" s="42"/>
      <c r="AK25" s="42"/>
      <c r="AL25" s="42"/>
      <c r="AM25" s="42"/>
      <c r="AN25" s="42"/>
      <c r="AO25" s="42"/>
      <c r="AP25" s="42"/>
      <c r="AQ25" s="42"/>
    </row>
    <row r="26" spans="1:43" ht="12.75" hidden="1" customHeight="1" x14ac:dyDescent="0.2">
      <c r="A26" s="42"/>
      <c r="B26" s="42"/>
      <c r="C26" s="42"/>
      <c r="D26" s="42"/>
      <c r="E26" s="42"/>
      <c r="F26" s="42"/>
      <c r="G26" s="42"/>
      <c r="H26" s="42"/>
      <c r="I26" s="42"/>
      <c r="J26" s="42"/>
      <c r="K26" s="42"/>
      <c r="O26" s="42"/>
      <c r="P26" s="42"/>
      <c r="Q26" s="42"/>
      <c r="R26" s="42"/>
      <c r="S26" s="42"/>
      <c r="X26" s="42"/>
      <c r="Y26" s="42"/>
      <c r="Z26" s="42"/>
      <c r="AA26" s="42"/>
      <c r="AB26" s="42"/>
      <c r="AC26" s="42"/>
      <c r="AD26" s="42"/>
      <c r="AE26" s="42"/>
      <c r="AF26" s="42"/>
      <c r="AG26" s="42"/>
      <c r="AH26" s="42"/>
      <c r="AI26" s="42"/>
      <c r="AJ26" s="42"/>
      <c r="AK26" s="42"/>
      <c r="AL26" s="42"/>
      <c r="AM26" s="42"/>
      <c r="AN26" s="42"/>
      <c r="AO26" s="42"/>
      <c r="AP26" s="42"/>
      <c r="AQ26" s="42"/>
    </row>
    <row r="27" spans="1:43" ht="12.75" hidden="1" customHeight="1" x14ac:dyDescent="0.2">
      <c r="A27" s="42"/>
      <c r="B27" s="42"/>
      <c r="C27" s="42"/>
      <c r="D27" s="42"/>
      <c r="E27" s="42"/>
      <c r="F27" s="42"/>
      <c r="G27" s="42"/>
      <c r="H27" s="42"/>
      <c r="I27" s="42"/>
      <c r="J27" s="42"/>
      <c r="K27" s="42"/>
      <c r="O27" s="42"/>
      <c r="P27" s="42"/>
      <c r="Q27" s="42"/>
      <c r="R27" s="42"/>
      <c r="S27" s="42"/>
      <c r="X27" s="42"/>
      <c r="Y27" s="42"/>
      <c r="Z27" s="42"/>
      <c r="AA27" s="42"/>
      <c r="AB27" s="42"/>
      <c r="AC27" s="42"/>
      <c r="AD27" s="42"/>
      <c r="AE27" s="42"/>
      <c r="AF27" s="42"/>
      <c r="AG27" s="42"/>
      <c r="AH27" s="42"/>
      <c r="AI27" s="42"/>
      <c r="AJ27" s="42"/>
      <c r="AK27" s="42"/>
      <c r="AL27" s="42"/>
      <c r="AM27" s="42"/>
      <c r="AN27" s="42"/>
      <c r="AO27" s="42"/>
      <c r="AP27" s="42"/>
      <c r="AQ27" s="42"/>
    </row>
    <row r="28" spans="1:43" ht="12.75" hidden="1" customHeight="1" x14ac:dyDescent="0.2">
      <c r="L28" s="32"/>
      <c r="M28" s="32"/>
      <c r="N28" s="32"/>
      <c r="T28" s="32"/>
      <c r="U28" s="32"/>
      <c r="V28" s="32"/>
      <c r="W28" s="223"/>
    </row>
    <row r="29" spans="1:43" ht="12.75" hidden="1" customHeight="1" x14ac:dyDescent="0.2">
      <c r="L29" s="32"/>
      <c r="M29" s="32"/>
      <c r="N29" s="32"/>
      <c r="T29" s="32"/>
      <c r="U29" s="32"/>
      <c r="V29" s="32"/>
      <c r="W29" s="223"/>
    </row>
    <row r="30" spans="1:43" ht="12.75" hidden="1" customHeight="1" x14ac:dyDescent="0.2">
      <c r="L30" s="32"/>
      <c r="M30" s="32"/>
      <c r="N30" s="32"/>
      <c r="T30" s="32"/>
      <c r="U30" s="32"/>
      <c r="V30" s="32"/>
      <c r="W30" s="223"/>
    </row>
    <row r="31" spans="1:43" ht="12.75" hidden="1" customHeight="1" x14ac:dyDescent="0.2">
      <c r="L31" s="32"/>
      <c r="M31" s="32"/>
      <c r="N31" s="32"/>
      <c r="T31" s="32"/>
      <c r="U31" s="32"/>
      <c r="V31" s="32"/>
      <c r="W31" s="223"/>
    </row>
    <row r="32" spans="1:43" ht="12.75" hidden="1" customHeight="1" x14ac:dyDescent="0.2">
      <c r="L32" s="32"/>
      <c r="M32" s="32"/>
      <c r="N32" s="32"/>
      <c r="T32" s="32"/>
      <c r="U32" s="32"/>
      <c r="V32" s="32"/>
      <c r="W32" s="223"/>
    </row>
    <row r="33" spans="12:23" ht="12.75" hidden="1" customHeight="1" x14ac:dyDescent="0.2">
      <c r="L33" s="32"/>
      <c r="M33" s="32"/>
      <c r="N33" s="32"/>
      <c r="T33" s="32"/>
      <c r="U33" s="32"/>
      <c r="V33" s="32"/>
      <c r="W33" s="223"/>
    </row>
    <row r="34" spans="12:23" ht="12.75" hidden="1" customHeight="1" x14ac:dyDescent="0.2">
      <c r="L34" s="32"/>
      <c r="M34" s="32"/>
      <c r="N34" s="32"/>
      <c r="T34" s="32"/>
      <c r="U34" s="32"/>
      <c r="V34" s="32"/>
      <c r="W34" s="223"/>
    </row>
    <row r="35" spans="12:23" ht="12.75" hidden="1" customHeight="1" x14ac:dyDescent="0.2">
      <c r="L35" s="32"/>
      <c r="M35" s="32"/>
      <c r="N35" s="32"/>
      <c r="T35" s="32"/>
      <c r="U35" s="32"/>
      <c r="V35" s="32"/>
      <c r="W35" s="223"/>
    </row>
    <row r="36" spans="12:23" ht="12.75" hidden="1" customHeight="1" x14ac:dyDescent="0.2">
      <c r="L36" s="32"/>
      <c r="M36" s="32"/>
      <c r="N36" s="32"/>
      <c r="T36" s="32"/>
      <c r="U36" s="32"/>
      <c r="V36" s="32"/>
      <c r="W36" s="223"/>
    </row>
    <row r="37" spans="12:23" ht="12.75" hidden="1" customHeight="1" x14ac:dyDescent="0.2">
      <c r="L37" s="32"/>
      <c r="M37" s="32"/>
      <c r="N37" s="32"/>
      <c r="T37" s="32"/>
      <c r="U37" s="32"/>
      <c r="V37" s="32"/>
      <c r="W37" s="223"/>
    </row>
    <row r="38" spans="12:23" ht="12.75" hidden="1" customHeight="1" x14ac:dyDescent="0.2">
      <c r="L38" s="32"/>
      <c r="M38" s="32"/>
      <c r="N38" s="32"/>
      <c r="T38" s="32"/>
      <c r="U38" s="32"/>
      <c r="V38" s="32"/>
      <c r="W38" s="223"/>
    </row>
    <row r="39" spans="12:23" ht="12.75" hidden="1" customHeight="1" x14ac:dyDescent="0.2">
      <c r="L39" s="32"/>
      <c r="M39" s="32"/>
      <c r="N39" s="32"/>
      <c r="T39" s="32"/>
      <c r="U39" s="32"/>
      <c r="V39" s="32"/>
      <c r="W39" s="223"/>
    </row>
    <row r="40" spans="12:23" ht="12.75" hidden="1" customHeight="1" x14ac:dyDescent="0.2">
      <c r="L40" s="32"/>
      <c r="M40" s="32"/>
      <c r="N40" s="32"/>
      <c r="T40" s="32"/>
      <c r="U40" s="32"/>
      <c r="V40" s="32"/>
      <c r="W40" s="223"/>
    </row>
    <row r="41" spans="12:23" ht="12.75" hidden="1" customHeight="1" x14ac:dyDescent="0.2">
      <c r="L41" s="32"/>
      <c r="M41" s="32"/>
      <c r="N41" s="32"/>
      <c r="T41" s="32"/>
      <c r="U41" s="32"/>
      <c r="V41" s="32"/>
      <c r="W41" s="223"/>
    </row>
    <row r="42" spans="12:23" ht="12.75" hidden="1" customHeight="1" x14ac:dyDescent="0.2">
      <c r="L42" s="32"/>
      <c r="M42" s="32"/>
      <c r="N42" s="32"/>
      <c r="T42" s="32"/>
      <c r="U42" s="32"/>
      <c r="V42" s="32"/>
      <c r="W42" s="223"/>
    </row>
    <row r="43" spans="12:23" ht="12.75" hidden="1" customHeight="1" x14ac:dyDescent="0.2">
      <c r="L43" s="32"/>
      <c r="M43" s="32"/>
      <c r="N43" s="32"/>
      <c r="T43" s="32"/>
      <c r="U43" s="32"/>
      <c r="V43" s="32"/>
      <c r="W43" s="223"/>
    </row>
    <row r="44" spans="12:23" ht="12.75" hidden="1" customHeight="1" x14ac:dyDescent="0.2">
      <c r="L44" s="32"/>
      <c r="M44" s="32"/>
      <c r="N44" s="32"/>
      <c r="T44" s="32"/>
      <c r="U44" s="32"/>
      <c r="V44" s="32"/>
      <c r="W44" s="223"/>
    </row>
    <row r="45" spans="12:23" ht="12.75" hidden="1" customHeight="1" x14ac:dyDescent="0.2">
      <c r="L45" s="32"/>
      <c r="M45" s="32"/>
      <c r="N45" s="32"/>
      <c r="T45" s="32"/>
      <c r="U45" s="32"/>
      <c r="V45" s="32"/>
      <c r="W45" s="223"/>
    </row>
    <row r="46" spans="12:23" ht="12.75" hidden="1" customHeight="1" x14ac:dyDescent="0.2">
      <c r="L46" s="32"/>
      <c r="M46" s="32"/>
      <c r="N46" s="32"/>
      <c r="T46" s="32"/>
      <c r="U46" s="32"/>
      <c r="V46" s="32"/>
      <c r="W46" s="223"/>
    </row>
    <row r="47" spans="12:23" ht="12.75" hidden="1" customHeight="1" x14ac:dyDescent="0.2">
      <c r="L47" s="32"/>
      <c r="M47" s="32"/>
      <c r="N47" s="32"/>
      <c r="T47" s="32"/>
      <c r="U47" s="32"/>
      <c r="V47" s="32"/>
      <c r="W47" s="223"/>
    </row>
    <row r="48" spans="12:23" ht="12.75" hidden="1" customHeight="1" x14ac:dyDescent="0.2">
      <c r="L48" s="32"/>
      <c r="M48" s="32"/>
      <c r="N48" s="32"/>
      <c r="T48" s="32"/>
      <c r="U48" s="32"/>
      <c r="V48" s="32"/>
      <c r="W48" s="223"/>
    </row>
    <row r="49" spans="12:23" ht="12.75" hidden="1" customHeight="1" x14ac:dyDescent="0.2">
      <c r="L49" s="32"/>
      <c r="M49" s="32"/>
      <c r="N49" s="32"/>
      <c r="T49" s="32"/>
      <c r="U49" s="32"/>
      <c r="V49" s="32"/>
      <c r="W49" s="223"/>
    </row>
    <row r="50" spans="12:23" ht="12.75" hidden="1" customHeight="1" x14ac:dyDescent="0.2">
      <c r="L50" s="32"/>
      <c r="M50" s="32"/>
      <c r="N50" s="32"/>
      <c r="T50" s="32"/>
      <c r="U50" s="32"/>
      <c r="V50" s="32"/>
      <c r="W50" s="223"/>
    </row>
    <row r="51" spans="12:23" ht="12.75" hidden="1" customHeight="1" x14ac:dyDescent="0.2">
      <c r="L51" s="32"/>
      <c r="M51" s="32"/>
      <c r="N51" s="32"/>
      <c r="T51" s="32"/>
      <c r="U51" s="32"/>
      <c r="V51" s="32"/>
      <c r="W51" s="223"/>
    </row>
    <row r="52" spans="12:23" ht="12.75" hidden="1" customHeight="1" x14ac:dyDescent="0.2">
      <c r="L52" s="32"/>
      <c r="M52" s="32"/>
      <c r="N52" s="32"/>
      <c r="T52" s="32"/>
      <c r="U52" s="32"/>
      <c r="V52" s="32"/>
      <c r="W52" s="223"/>
    </row>
    <row r="53" spans="12:23" ht="12.75" hidden="1" customHeight="1" x14ac:dyDescent="0.2">
      <c r="L53" s="32"/>
      <c r="M53" s="32"/>
      <c r="N53" s="32"/>
      <c r="T53" s="32"/>
      <c r="U53" s="32"/>
      <c r="V53" s="32"/>
      <c r="W53" s="223"/>
    </row>
    <row r="54" spans="12:23" ht="12.75" hidden="1" customHeight="1" x14ac:dyDescent="0.2">
      <c r="L54" s="32"/>
      <c r="M54" s="32"/>
      <c r="N54" s="32"/>
      <c r="T54" s="32"/>
      <c r="U54" s="32"/>
      <c r="V54" s="32"/>
      <c r="W54" s="223"/>
    </row>
    <row r="55" spans="12:23" ht="12.75" hidden="1" customHeight="1" x14ac:dyDescent="0.2">
      <c r="L55" s="32"/>
      <c r="M55" s="32"/>
      <c r="N55" s="32"/>
      <c r="T55" s="32"/>
      <c r="U55" s="32"/>
      <c r="V55" s="32"/>
      <c r="W55" s="223"/>
    </row>
    <row r="56" spans="12:23" ht="12.75" hidden="1" customHeight="1" x14ac:dyDescent="0.2">
      <c r="L56" s="32"/>
      <c r="M56" s="32"/>
      <c r="N56" s="32"/>
      <c r="T56" s="32"/>
      <c r="U56" s="32"/>
      <c r="V56" s="32"/>
      <c r="W56" s="223"/>
    </row>
    <row r="57" spans="12:23" ht="12.75" hidden="1" customHeight="1" x14ac:dyDescent="0.2">
      <c r="L57" s="32"/>
      <c r="M57" s="32"/>
      <c r="N57" s="32"/>
      <c r="T57" s="32"/>
      <c r="U57" s="32"/>
      <c r="V57" s="32"/>
      <c r="W57" s="223"/>
    </row>
    <row r="58" spans="12:23" ht="12.75" hidden="1" customHeight="1" x14ac:dyDescent="0.2">
      <c r="L58" s="32"/>
      <c r="M58" s="32"/>
      <c r="N58" s="32"/>
      <c r="T58" s="32"/>
      <c r="U58" s="32"/>
      <c r="V58" s="32"/>
      <c r="W58" s="223"/>
    </row>
    <row r="59" spans="12:23" ht="12.75" hidden="1" customHeight="1" x14ac:dyDescent="0.2">
      <c r="L59" s="32"/>
      <c r="M59" s="32"/>
      <c r="N59" s="32"/>
      <c r="T59" s="32"/>
      <c r="U59" s="32"/>
      <c r="V59" s="32"/>
      <c r="W59" s="223"/>
    </row>
    <row r="60" spans="12:23" ht="12.75" hidden="1" customHeight="1" x14ac:dyDescent="0.2">
      <c r="L60" s="32"/>
      <c r="M60" s="32"/>
      <c r="N60" s="32"/>
      <c r="T60" s="32"/>
      <c r="U60" s="32"/>
      <c r="V60" s="32"/>
      <c r="W60" s="223"/>
    </row>
    <row r="61" spans="12:23" ht="12.75" hidden="1" customHeight="1" x14ac:dyDescent="0.2">
      <c r="L61" s="32"/>
      <c r="M61" s="32"/>
      <c r="N61" s="32"/>
      <c r="T61" s="32"/>
      <c r="U61" s="32"/>
      <c r="V61" s="32"/>
      <c r="W61" s="223"/>
    </row>
    <row r="62" spans="12:23" ht="12.75" hidden="1" customHeight="1" x14ac:dyDescent="0.2">
      <c r="L62" s="32"/>
      <c r="M62" s="32"/>
      <c r="N62" s="32"/>
      <c r="T62" s="32"/>
      <c r="U62" s="32"/>
      <c r="V62" s="32"/>
      <c r="W62" s="223"/>
    </row>
    <row r="63" spans="12:23" ht="12.75" hidden="1" customHeight="1" x14ac:dyDescent="0.2">
      <c r="L63" s="32"/>
      <c r="M63" s="32"/>
      <c r="N63" s="32"/>
      <c r="T63" s="32"/>
      <c r="U63" s="32"/>
      <c r="V63" s="32"/>
      <c r="W63" s="223"/>
    </row>
    <row r="64" spans="12:23" ht="12.75" hidden="1" customHeight="1" x14ac:dyDescent="0.2">
      <c r="L64" s="32"/>
      <c r="M64" s="32"/>
      <c r="N64" s="32"/>
      <c r="T64" s="32"/>
      <c r="U64" s="32"/>
      <c r="V64" s="32"/>
      <c r="W64" s="223"/>
    </row>
    <row r="65" spans="12:23" ht="12.75" hidden="1" customHeight="1" x14ac:dyDescent="0.2">
      <c r="L65" s="32"/>
      <c r="M65" s="32"/>
      <c r="N65" s="32"/>
      <c r="T65" s="32"/>
      <c r="U65" s="32"/>
      <c r="V65" s="32"/>
      <c r="W65" s="223"/>
    </row>
    <row r="66" spans="12:23" ht="12.75" hidden="1" customHeight="1" x14ac:dyDescent="0.2">
      <c r="L66" s="32"/>
      <c r="M66" s="32"/>
      <c r="N66" s="32"/>
      <c r="T66" s="32"/>
      <c r="U66" s="32"/>
      <c r="V66" s="32"/>
      <c r="W66" s="223"/>
    </row>
    <row r="67" spans="12:23" ht="12.75" hidden="1" customHeight="1" x14ac:dyDescent="0.2">
      <c r="L67" s="32"/>
      <c r="M67" s="32"/>
      <c r="N67" s="32"/>
      <c r="T67" s="32"/>
      <c r="U67" s="32"/>
      <c r="V67" s="32"/>
      <c r="W67" s="223"/>
    </row>
    <row r="68" spans="12:23" ht="12.75" hidden="1" customHeight="1" x14ac:dyDescent="0.2">
      <c r="L68" s="32"/>
      <c r="M68" s="32"/>
      <c r="N68" s="32"/>
      <c r="T68" s="32"/>
      <c r="U68" s="32"/>
      <c r="V68" s="32"/>
      <c r="W68" s="223"/>
    </row>
    <row r="69" spans="12:23" ht="12.75" hidden="1" customHeight="1" x14ac:dyDescent="0.2">
      <c r="L69" s="32"/>
      <c r="M69" s="32"/>
      <c r="N69" s="32"/>
      <c r="T69" s="32"/>
      <c r="U69" s="32"/>
      <c r="V69" s="32"/>
      <c r="W69" s="223"/>
    </row>
    <row r="70" spans="12:23" ht="12.75" hidden="1" customHeight="1" x14ac:dyDescent="0.2">
      <c r="L70" s="32"/>
      <c r="M70" s="32"/>
      <c r="N70" s="32"/>
      <c r="T70" s="32"/>
      <c r="U70" s="32"/>
      <c r="V70" s="32"/>
      <c r="W70" s="223"/>
    </row>
    <row r="71" spans="12:23" ht="12.75" hidden="1" customHeight="1" x14ac:dyDescent="0.2">
      <c r="L71" s="32"/>
      <c r="M71" s="32"/>
      <c r="N71" s="32"/>
      <c r="T71" s="32"/>
      <c r="U71" s="32"/>
      <c r="V71" s="32"/>
      <c r="W71" s="223"/>
    </row>
    <row r="72" spans="12:23" ht="12.75" hidden="1" customHeight="1" x14ac:dyDescent="0.2">
      <c r="L72" s="32"/>
      <c r="M72" s="32"/>
      <c r="N72" s="32"/>
      <c r="T72" s="32"/>
      <c r="U72" s="32"/>
      <c r="V72" s="32"/>
      <c r="W72" s="223"/>
    </row>
    <row r="73" spans="12:23" ht="12.75" hidden="1" customHeight="1" x14ac:dyDescent="0.2">
      <c r="L73" s="32"/>
      <c r="M73" s="32"/>
      <c r="N73" s="32"/>
      <c r="T73" s="32"/>
      <c r="U73" s="32"/>
      <c r="V73" s="32"/>
      <c r="W73" s="223"/>
    </row>
    <row r="74" spans="12:23" ht="12.75" hidden="1" customHeight="1" x14ac:dyDescent="0.2">
      <c r="L74" s="32"/>
      <c r="M74" s="32"/>
      <c r="N74" s="32"/>
      <c r="T74" s="32"/>
      <c r="U74" s="32"/>
      <c r="V74" s="32"/>
      <c r="W74" s="223"/>
    </row>
    <row r="75" spans="12:23" ht="12.75" hidden="1" customHeight="1" x14ac:dyDescent="0.2">
      <c r="L75" s="32"/>
      <c r="M75" s="32"/>
      <c r="N75" s="32"/>
      <c r="T75" s="32"/>
      <c r="U75" s="32"/>
      <c r="V75" s="32"/>
      <c r="W75" s="223"/>
    </row>
    <row r="76" spans="12:23" ht="12.75" hidden="1" customHeight="1" x14ac:dyDescent="0.2">
      <c r="L76" s="32"/>
      <c r="M76" s="32"/>
      <c r="N76" s="32"/>
      <c r="T76" s="32"/>
      <c r="U76" s="32"/>
      <c r="V76" s="32"/>
      <c r="W76" s="223"/>
    </row>
    <row r="77" spans="12:23" ht="12.75" hidden="1" customHeight="1" x14ac:dyDescent="0.2">
      <c r="L77" s="32"/>
      <c r="M77" s="32"/>
      <c r="N77" s="32"/>
      <c r="T77" s="32"/>
      <c r="U77" s="32"/>
      <c r="V77" s="32"/>
      <c r="W77" s="223"/>
    </row>
    <row r="78" spans="12:23" ht="12.75" hidden="1" customHeight="1" x14ac:dyDescent="0.2">
      <c r="L78" s="32"/>
      <c r="M78" s="32"/>
      <c r="N78" s="32"/>
      <c r="T78" s="32"/>
      <c r="U78" s="32"/>
      <c r="V78" s="32"/>
      <c r="W78" s="223"/>
    </row>
    <row r="79" spans="12:23" ht="12.75" hidden="1" customHeight="1" x14ac:dyDescent="0.2">
      <c r="L79" s="32"/>
      <c r="M79" s="32"/>
      <c r="N79" s="32"/>
      <c r="T79" s="32"/>
      <c r="U79" s="32"/>
      <c r="V79" s="32"/>
      <c r="W79" s="223"/>
    </row>
    <row r="80" spans="12:23" ht="12.75" hidden="1" customHeight="1" x14ac:dyDescent="0.2">
      <c r="L80" s="32"/>
      <c r="M80" s="32"/>
      <c r="N80" s="32"/>
      <c r="T80" s="32"/>
      <c r="U80" s="32"/>
      <c r="V80" s="32"/>
      <c r="W80" s="223"/>
    </row>
    <row r="81" spans="12:23" ht="12.75" hidden="1" customHeight="1" x14ac:dyDescent="0.2">
      <c r="L81" s="32"/>
      <c r="M81" s="32"/>
      <c r="N81" s="32"/>
      <c r="T81" s="32"/>
      <c r="U81" s="32"/>
      <c r="V81" s="32"/>
      <c r="W81" s="223"/>
    </row>
    <row r="82" spans="12:23" ht="12.75" hidden="1" customHeight="1" x14ac:dyDescent="0.2">
      <c r="L82" s="32"/>
      <c r="M82" s="32"/>
      <c r="N82" s="32"/>
      <c r="T82" s="32"/>
      <c r="U82" s="32"/>
      <c r="V82" s="32"/>
      <c r="W82" s="223"/>
    </row>
    <row r="83" spans="12:23" ht="12.75" hidden="1" customHeight="1" x14ac:dyDescent="0.2">
      <c r="L83" s="32"/>
      <c r="M83" s="32"/>
      <c r="N83" s="32"/>
      <c r="T83" s="32"/>
      <c r="U83" s="32"/>
      <c r="V83" s="32"/>
      <c r="W83" s="223"/>
    </row>
    <row r="84" spans="12:23" ht="12.75" hidden="1" customHeight="1" x14ac:dyDescent="0.2">
      <c r="L84" s="32"/>
      <c r="M84" s="32"/>
      <c r="N84" s="32"/>
      <c r="T84" s="32"/>
      <c r="U84" s="32"/>
      <c r="V84" s="32"/>
      <c r="W84" s="223"/>
    </row>
    <row r="85" spans="12:23" ht="12.75" hidden="1" customHeight="1" x14ac:dyDescent="0.2">
      <c r="L85" s="32"/>
      <c r="M85" s="32"/>
      <c r="N85" s="32"/>
      <c r="T85" s="32"/>
      <c r="U85" s="32"/>
      <c r="V85" s="32"/>
      <c r="W85" s="223"/>
    </row>
    <row r="86" spans="12:23" ht="12.75" hidden="1" customHeight="1" x14ac:dyDescent="0.2">
      <c r="L86" s="32"/>
      <c r="M86" s="32"/>
      <c r="N86" s="32"/>
      <c r="T86" s="32"/>
      <c r="U86" s="32"/>
      <c r="V86" s="32"/>
      <c r="W86" s="223"/>
    </row>
    <row r="87" spans="12:23" ht="12.75" hidden="1" customHeight="1" x14ac:dyDescent="0.2">
      <c r="L87" s="32"/>
      <c r="M87" s="32"/>
      <c r="N87" s="32"/>
      <c r="T87" s="32"/>
      <c r="U87" s="32"/>
      <c r="V87" s="32"/>
      <c r="W87" s="223"/>
    </row>
    <row r="88" spans="12:23" ht="12.75" hidden="1" customHeight="1" x14ac:dyDescent="0.2">
      <c r="L88" s="32"/>
      <c r="M88" s="32"/>
      <c r="N88" s="32"/>
      <c r="T88" s="32"/>
      <c r="U88" s="32"/>
      <c r="V88" s="32"/>
      <c r="W88" s="223"/>
    </row>
    <row r="89" spans="12:23" ht="12.75" hidden="1" customHeight="1" x14ac:dyDescent="0.2">
      <c r="L89" s="32"/>
      <c r="M89" s="32"/>
      <c r="N89" s="32"/>
      <c r="T89" s="32"/>
      <c r="U89" s="32"/>
      <c r="V89" s="32"/>
      <c r="W89" s="223"/>
    </row>
    <row r="90" spans="12:23" ht="12.75" hidden="1" customHeight="1" x14ac:dyDescent="0.2">
      <c r="L90" s="32"/>
      <c r="M90" s="32"/>
      <c r="N90" s="32"/>
      <c r="T90" s="32"/>
      <c r="U90" s="32"/>
      <c r="V90" s="32"/>
      <c r="W90" s="223"/>
    </row>
    <row r="91" spans="12:23" ht="12.75" hidden="1" customHeight="1" x14ac:dyDescent="0.2">
      <c r="L91" s="32"/>
      <c r="M91" s="32"/>
      <c r="N91" s="32"/>
      <c r="T91" s="32"/>
      <c r="U91" s="32"/>
      <c r="V91" s="32"/>
      <c r="W91" s="223"/>
    </row>
    <row r="92" spans="12:23" ht="12.75" hidden="1" customHeight="1" x14ac:dyDescent="0.2">
      <c r="L92" s="32"/>
      <c r="M92" s="32"/>
      <c r="N92" s="32"/>
      <c r="T92" s="32"/>
      <c r="U92" s="32"/>
      <c r="V92" s="32"/>
      <c r="W92" s="223"/>
    </row>
    <row r="93" spans="12:23" ht="12.75" hidden="1" customHeight="1" x14ac:dyDescent="0.2">
      <c r="L93" s="32"/>
      <c r="M93" s="32"/>
      <c r="N93" s="32"/>
      <c r="T93" s="32"/>
      <c r="U93" s="32"/>
      <c r="V93" s="32"/>
      <c r="W93" s="223"/>
    </row>
    <row r="94" spans="12:23" ht="12.75" hidden="1" customHeight="1" x14ac:dyDescent="0.2">
      <c r="L94" s="32"/>
      <c r="M94" s="32"/>
      <c r="N94" s="32"/>
      <c r="T94" s="32"/>
      <c r="U94" s="32"/>
      <c r="V94" s="32"/>
      <c r="W94" s="223"/>
    </row>
    <row r="95" spans="12:23" ht="12.75" hidden="1" customHeight="1" x14ac:dyDescent="0.2">
      <c r="L95" s="32"/>
      <c r="M95" s="32"/>
      <c r="N95" s="32"/>
      <c r="T95" s="32"/>
      <c r="U95" s="32"/>
      <c r="V95" s="32"/>
      <c r="W95" s="223"/>
    </row>
    <row r="96" spans="12:23" ht="12.75" hidden="1" customHeight="1" x14ac:dyDescent="0.2">
      <c r="L96" s="32"/>
      <c r="M96" s="32"/>
      <c r="N96" s="32"/>
      <c r="T96" s="32"/>
      <c r="U96" s="32"/>
      <c r="V96" s="32"/>
      <c r="W96" s="223"/>
    </row>
    <row r="97" spans="12:23" ht="12.75" hidden="1" customHeight="1" x14ac:dyDescent="0.2">
      <c r="L97" s="32"/>
      <c r="M97" s="32"/>
      <c r="N97" s="32"/>
      <c r="T97" s="32"/>
      <c r="U97" s="32"/>
      <c r="V97" s="32"/>
      <c r="W97" s="223"/>
    </row>
    <row r="98" spans="12:23" ht="12.75" hidden="1" customHeight="1" x14ac:dyDescent="0.2">
      <c r="L98" s="32"/>
      <c r="M98" s="32"/>
      <c r="N98" s="32"/>
      <c r="T98" s="32"/>
      <c r="U98" s="32"/>
      <c r="V98" s="32"/>
      <c r="W98" s="223"/>
    </row>
    <row r="99" spans="12:23" ht="12.75" hidden="1" customHeight="1" x14ac:dyDescent="0.2">
      <c r="L99" s="32"/>
      <c r="M99" s="32"/>
      <c r="N99" s="32"/>
      <c r="T99" s="32"/>
      <c r="U99" s="32"/>
      <c r="V99" s="32"/>
      <c r="W99" s="223"/>
    </row>
    <row r="100" spans="12:23" ht="12.75" hidden="1" customHeight="1" x14ac:dyDescent="0.2">
      <c r="L100" s="32"/>
      <c r="M100" s="32"/>
      <c r="N100" s="32"/>
      <c r="T100" s="32"/>
      <c r="U100" s="32"/>
      <c r="V100" s="32"/>
      <c r="W100" s="223"/>
    </row>
    <row r="101" spans="12:23" ht="12.75" hidden="1" customHeight="1" x14ac:dyDescent="0.2">
      <c r="L101" s="32"/>
      <c r="M101" s="32"/>
      <c r="N101" s="32"/>
      <c r="T101" s="32"/>
      <c r="U101" s="32"/>
      <c r="V101" s="32"/>
      <c r="W101" s="223"/>
    </row>
    <row r="102" spans="12:23" ht="12.75" hidden="1" customHeight="1" x14ac:dyDescent="0.2">
      <c r="L102" s="32"/>
      <c r="M102" s="32"/>
      <c r="N102" s="32"/>
      <c r="T102" s="32"/>
      <c r="U102" s="32"/>
      <c r="V102" s="32"/>
      <c r="W102" s="223"/>
    </row>
    <row r="103" spans="12:23" ht="12.75" hidden="1" customHeight="1" x14ac:dyDescent="0.2">
      <c r="L103" s="32"/>
      <c r="M103" s="32"/>
      <c r="N103" s="32"/>
      <c r="T103" s="32"/>
      <c r="U103" s="32"/>
      <c r="V103" s="32"/>
      <c r="W103" s="223"/>
    </row>
    <row r="104" spans="12:23" ht="12.75" hidden="1" customHeight="1" x14ac:dyDescent="0.2">
      <c r="L104" s="32"/>
      <c r="M104" s="32"/>
      <c r="N104" s="32"/>
      <c r="T104" s="32"/>
      <c r="U104" s="32"/>
      <c r="V104" s="32"/>
      <c r="W104" s="223"/>
    </row>
    <row r="105" spans="12:23" ht="12.75" hidden="1" customHeight="1" x14ac:dyDescent="0.2">
      <c r="L105" s="32"/>
      <c r="M105" s="32"/>
      <c r="N105" s="32"/>
      <c r="T105" s="32"/>
      <c r="U105" s="32"/>
      <c r="V105" s="32"/>
      <c r="W105" s="223"/>
    </row>
    <row r="106" spans="12:23" ht="12.75" hidden="1" customHeight="1" x14ac:dyDescent="0.2">
      <c r="L106" s="32"/>
      <c r="M106" s="32"/>
      <c r="N106" s="32"/>
      <c r="T106" s="32"/>
      <c r="U106" s="32"/>
      <c r="V106" s="32"/>
      <c r="W106" s="223"/>
    </row>
    <row r="107" spans="12:23" ht="12.75" hidden="1" customHeight="1" x14ac:dyDescent="0.2">
      <c r="L107" s="32"/>
      <c r="M107" s="32"/>
      <c r="N107" s="32"/>
      <c r="T107" s="32"/>
      <c r="U107" s="32"/>
      <c r="V107" s="32"/>
      <c r="W107" s="223"/>
    </row>
    <row r="108" spans="12:23" ht="12.75" hidden="1" customHeight="1" x14ac:dyDescent="0.2">
      <c r="L108" s="32"/>
      <c r="M108" s="32"/>
      <c r="N108" s="32"/>
      <c r="T108" s="32"/>
      <c r="U108" s="32"/>
      <c r="V108" s="32"/>
      <c r="W108" s="223"/>
    </row>
    <row r="109" spans="12:23" ht="12.75" hidden="1" customHeight="1" x14ac:dyDescent="0.2">
      <c r="L109" s="32"/>
      <c r="M109" s="32"/>
      <c r="N109" s="32"/>
      <c r="T109" s="32"/>
      <c r="U109" s="32"/>
      <c r="V109" s="32"/>
      <c r="W109" s="223"/>
    </row>
    <row r="110" spans="12:23" ht="12.75" hidden="1" customHeight="1" x14ac:dyDescent="0.2">
      <c r="L110" s="32"/>
      <c r="M110" s="32"/>
      <c r="N110" s="32"/>
      <c r="T110" s="32"/>
      <c r="U110" s="32"/>
      <c r="V110" s="32"/>
      <c r="W110" s="223"/>
    </row>
    <row r="111" spans="12:23" ht="12.75" hidden="1" customHeight="1" x14ac:dyDescent="0.2">
      <c r="L111" s="32"/>
      <c r="M111" s="32"/>
      <c r="N111" s="32"/>
      <c r="T111" s="32"/>
      <c r="U111" s="32"/>
      <c r="V111" s="32"/>
      <c r="W111" s="223"/>
    </row>
    <row r="112" spans="12:23" ht="12.75" hidden="1" customHeight="1" x14ac:dyDescent="0.2">
      <c r="L112" s="32"/>
      <c r="M112" s="32"/>
      <c r="N112" s="32"/>
      <c r="T112" s="32"/>
      <c r="U112" s="32"/>
      <c r="V112" s="32"/>
      <c r="W112" s="223"/>
    </row>
    <row r="113" spans="12:23" ht="12.75" hidden="1" customHeight="1" x14ac:dyDescent="0.2">
      <c r="L113" s="32"/>
      <c r="M113" s="32"/>
      <c r="N113" s="32"/>
      <c r="T113" s="32"/>
      <c r="U113" s="32"/>
      <c r="V113" s="32"/>
      <c r="W113" s="223"/>
    </row>
    <row r="114" spans="12:23" ht="12.75" hidden="1" customHeight="1" x14ac:dyDescent="0.2">
      <c r="L114" s="32"/>
      <c r="M114" s="32"/>
      <c r="N114" s="32"/>
      <c r="T114" s="32"/>
      <c r="U114" s="32"/>
      <c r="V114" s="32"/>
      <c r="W114" s="223"/>
    </row>
    <row r="115" spans="12:23" ht="12.75" hidden="1" customHeight="1" x14ac:dyDescent="0.2">
      <c r="L115" s="32"/>
      <c r="M115" s="32"/>
      <c r="N115" s="32"/>
      <c r="T115" s="32"/>
      <c r="U115" s="32"/>
      <c r="V115" s="32"/>
      <c r="W115" s="223"/>
    </row>
    <row r="116" spans="12:23" ht="12.75" hidden="1" customHeight="1" x14ac:dyDescent="0.2">
      <c r="L116" s="32"/>
      <c r="M116" s="32"/>
      <c r="N116" s="32"/>
      <c r="T116" s="32"/>
      <c r="U116" s="32"/>
      <c r="V116" s="32"/>
      <c r="W116" s="223"/>
    </row>
    <row r="117" spans="12:23" ht="12.75" hidden="1" customHeight="1" x14ac:dyDescent="0.2">
      <c r="L117" s="32"/>
      <c r="M117" s="32"/>
      <c r="N117" s="32"/>
      <c r="T117" s="32"/>
      <c r="U117" s="32"/>
      <c r="V117" s="32"/>
      <c r="W117" s="223"/>
    </row>
    <row r="118" spans="12:23" ht="12.75" hidden="1" customHeight="1" x14ac:dyDescent="0.2">
      <c r="L118" s="32"/>
      <c r="M118" s="32"/>
      <c r="N118" s="32"/>
      <c r="T118" s="32"/>
      <c r="U118" s="32"/>
      <c r="V118" s="32"/>
      <c r="W118" s="223"/>
    </row>
    <row r="119" spans="12:23" ht="12.75" hidden="1" customHeight="1" x14ac:dyDescent="0.2">
      <c r="L119" s="32"/>
      <c r="M119" s="32"/>
      <c r="N119" s="32"/>
      <c r="T119" s="32"/>
      <c r="U119" s="32"/>
      <c r="V119" s="32"/>
      <c r="W119" s="223"/>
    </row>
    <row r="120" spans="12:23" ht="12.75" hidden="1" customHeight="1" x14ac:dyDescent="0.2">
      <c r="L120" s="32"/>
      <c r="M120" s="32"/>
      <c r="N120" s="32"/>
      <c r="T120" s="32"/>
      <c r="U120" s="32"/>
      <c r="V120" s="32"/>
      <c r="W120" s="223"/>
    </row>
    <row r="121" spans="12:23" ht="12.75" hidden="1" customHeight="1" x14ac:dyDescent="0.2">
      <c r="L121" s="32"/>
      <c r="M121" s="32"/>
      <c r="N121" s="32"/>
      <c r="T121" s="32"/>
      <c r="U121" s="32"/>
      <c r="V121" s="32"/>
      <c r="W121" s="223"/>
    </row>
    <row r="122" spans="12:23" ht="12.75" hidden="1" customHeight="1" x14ac:dyDescent="0.2">
      <c r="L122" s="32"/>
      <c r="M122" s="32"/>
      <c r="N122" s="32"/>
      <c r="T122" s="32"/>
      <c r="U122" s="32"/>
      <c r="V122" s="32"/>
      <c r="W122" s="223"/>
    </row>
    <row r="123" spans="12:23" ht="12.75" hidden="1" customHeight="1" x14ac:dyDescent="0.2">
      <c r="L123" s="32"/>
      <c r="M123" s="32"/>
      <c r="N123" s="32"/>
      <c r="T123" s="32"/>
      <c r="U123" s="32"/>
      <c r="V123" s="32"/>
      <c r="W123" s="223"/>
    </row>
    <row r="124" spans="12:23" ht="12.75" hidden="1" customHeight="1" x14ac:dyDescent="0.2">
      <c r="L124" s="32"/>
      <c r="M124" s="32"/>
      <c r="N124" s="32"/>
      <c r="T124" s="32"/>
      <c r="U124" s="32"/>
      <c r="V124" s="32"/>
      <c r="W124" s="223"/>
    </row>
    <row r="125" spans="12:23" ht="12.75" hidden="1" customHeight="1" x14ac:dyDescent="0.2">
      <c r="L125" s="32"/>
      <c r="M125" s="32"/>
      <c r="N125" s="32"/>
      <c r="T125" s="32"/>
      <c r="U125" s="32"/>
      <c r="V125" s="32"/>
      <c r="W125" s="223"/>
    </row>
    <row r="126" spans="12:23" ht="12.75" hidden="1" customHeight="1" x14ac:dyDescent="0.2">
      <c r="L126" s="32"/>
      <c r="M126" s="32"/>
      <c r="N126" s="32"/>
      <c r="T126" s="32"/>
      <c r="U126" s="32"/>
      <c r="V126" s="32"/>
      <c r="W126" s="223"/>
    </row>
    <row r="127" spans="12:23" ht="12.75" hidden="1" customHeight="1" x14ac:dyDescent="0.2">
      <c r="L127" s="32"/>
      <c r="M127" s="32"/>
      <c r="N127" s="32"/>
      <c r="T127" s="32"/>
      <c r="U127" s="32"/>
      <c r="V127" s="32"/>
      <c r="W127" s="223"/>
    </row>
    <row r="128" spans="12:23" ht="12.75" hidden="1" customHeight="1" x14ac:dyDescent="0.2">
      <c r="L128" s="32"/>
      <c r="M128" s="32"/>
      <c r="N128" s="32"/>
      <c r="T128" s="32"/>
      <c r="U128" s="32"/>
      <c r="V128" s="32"/>
      <c r="W128" s="223"/>
    </row>
    <row r="129" spans="12:23" ht="12.75" hidden="1" customHeight="1" x14ac:dyDescent="0.2">
      <c r="L129" s="32"/>
      <c r="M129" s="32"/>
      <c r="N129" s="32"/>
      <c r="T129" s="32"/>
      <c r="U129" s="32"/>
      <c r="V129" s="32"/>
      <c r="W129" s="223"/>
    </row>
    <row r="130" spans="12:23" ht="12.75" hidden="1" customHeight="1" x14ac:dyDescent="0.2">
      <c r="L130" s="32"/>
      <c r="M130" s="32"/>
      <c r="N130" s="32"/>
      <c r="T130" s="32"/>
      <c r="U130" s="32"/>
      <c r="V130" s="32"/>
      <c r="W130" s="223"/>
    </row>
    <row r="131" spans="12:23" ht="12.75" hidden="1" customHeight="1" x14ac:dyDescent="0.2">
      <c r="L131" s="32"/>
      <c r="M131" s="32"/>
      <c r="N131" s="32"/>
      <c r="T131" s="32"/>
      <c r="U131" s="32"/>
      <c r="V131" s="32"/>
      <c r="W131" s="223"/>
    </row>
    <row r="132" spans="12:23" ht="12.75" hidden="1" customHeight="1" x14ac:dyDescent="0.2">
      <c r="L132" s="32"/>
      <c r="M132" s="32"/>
      <c r="N132" s="32"/>
      <c r="T132" s="32"/>
      <c r="U132" s="32"/>
      <c r="V132" s="32"/>
      <c r="W132" s="223"/>
    </row>
    <row r="133" spans="12:23" ht="12.75" hidden="1" customHeight="1" x14ac:dyDescent="0.2">
      <c r="L133" s="32"/>
      <c r="M133" s="32"/>
      <c r="N133" s="32"/>
      <c r="T133" s="32"/>
      <c r="U133" s="32"/>
      <c r="V133" s="32"/>
      <c r="W133" s="223"/>
    </row>
    <row r="134" spans="12:23" ht="12.75" hidden="1" customHeight="1" x14ac:dyDescent="0.2">
      <c r="L134" s="32"/>
      <c r="M134" s="32"/>
      <c r="N134" s="32"/>
      <c r="T134" s="32"/>
      <c r="U134" s="32"/>
      <c r="V134" s="32"/>
      <c r="W134" s="223"/>
    </row>
    <row r="135" spans="12:23" ht="12.75" hidden="1" customHeight="1" x14ac:dyDescent="0.2">
      <c r="L135" s="32"/>
      <c r="M135" s="32"/>
      <c r="N135" s="32"/>
      <c r="T135" s="32"/>
      <c r="U135" s="32"/>
      <c r="V135" s="32"/>
      <c r="W135" s="223"/>
    </row>
    <row r="136" spans="12:23" ht="12.75" hidden="1" customHeight="1" x14ac:dyDescent="0.2">
      <c r="L136" s="32"/>
      <c r="M136" s="32"/>
      <c r="N136" s="32"/>
      <c r="T136" s="32"/>
      <c r="U136" s="32"/>
      <c r="V136" s="32"/>
      <c r="W136" s="616"/>
    </row>
    <row r="137" spans="12:23" ht="12.75" hidden="1" customHeight="1" x14ac:dyDescent="0.2">
      <c r="L137" s="32"/>
      <c r="M137" s="32"/>
      <c r="N137" s="32"/>
      <c r="T137" s="32"/>
      <c r="U137" s="32"/>
      <c r="V137" s="32"/>
      <c r="W137" s="616"/>
    </row>
    <row r="138" spans="12:23" ht="12.75" hidden="1" customHeight="1" x14ac:dyDescent="0.2">
      <c r="L138" s="32"/>
      <c r="M138" s="32"/>
      <c r="N138" s="32"/>
      <c r="T138" s="32"/>
      <c r="U138" s="32"/>
      <c r="V138" s="32"/>
      <c r="W138" s="616"/>
    </row>
    <row r="139" spans="12:23" ht="12.75" hidden="1" customHeight="1" x14ac:dyDescent="0.2">
      <c r="L139" s="32"/>
      <c r="M139" s="32"/>
      <c r="N139" s="32"/>
      <c r="T139" s="32"/>
      <c r="U139" s="32"/>
      <c r="V139" s="32"/>
      <c r="W139" s="616"/>
    </row>
    <row r="140" spans="12:23" ht="12.75" hidden="1" customHeight="1" x14ac:dyDescent="0.2">
      <c r="L140" s="32"/>
      <c r="M140" s="32"/>
      <c r="N140" s="32"/>
      <c r="T140" s="32"/>
      <c r="U140" s="32"/>
      <c r="V140" s="32"/>
      <c r="W140" s="616"/>
    </row>
    <row r="141" spans="12:23" ht="12.75" hidden="1" customHeight="1" x14ac:dyDescent="0.2">
      <c r="L141" s="32"/>
      <c r="M141" s="32"/>
      <c r="N141" s="32"/>
      <c r="T141" s="32"/>
      <c r="U141" s="32"/>
      <c r="V141" s="32"/>
      <c r="W141" s="616"/>
    </row>
    <row r="142" spans="12:23" ht="12.75" hidden="1" customHeight="1" x14ac:dyDescent="0.2">
      <c r="L142" s="32"/>
      <c r="M142" s="32"/>
      <c r="N142" s="32"/>
      <c r="T142" s="32"/>
      <c r="U142" s="32"/>
      <c r="V142" s="32"/>
      <c r="W142" s="616"/>
    </row>
    <row r="143" spans="12:23" ht="12.75" hidden="1" customHeight="1" x14ac:dyDescent="0.2">
      <c r="L143" s="32"/>
      <c r="M143" s="32"/>
      <c r="N143" s="32"/>
      <c r="T143" s="32"/>
      <c r="U143" s="32"/>
      <c r="V143" s="32"/>
      <c r="W143" s="616"/>
    </row>
    <row r="144" spans="12:23" ht="12.75" hidden="1" customHeight="1" x14ac:dyDescent="0.2">
      <c r="L144" s="32"/>
      <c r="M144" s="32"/>
      <c r="N144" s="32"/>
      <c r="T144" s="32"/>
      <c r="U144" s="32"/>
      <c r="V144" s="32"/>
      <c r="W144" s="616"/>
    </row>
    <row r="145" spans="12:23" ht="12.75" hidden="1" customHeight="1" x14ac:dyDescent="0.2">
      <c r="L145" s="32"/>
      <c r="M145" s="32"/>
      <c r="N145" s="32"/>
      <c r="T145" s="32"/>
      <c r="U145" s="32"/>
      <c r="V145" s="32"/>
      <c r="W145" s="616"/>
    </row>
    <row r="146" spans="12:23" ht="12.75" hidden="1" customHeight="1" x14ac:dyDescent="0.2">
      <c r="L146" s="32"/>
      <c r="M146" s="32"/>
      <c r="N146" s="32"/>
      <c r="T146" s="32"/>
      <c r="U146" s="32"/>
      <c r="V146" s="32"/>
      <c r="W146" s="616"/>
    </row>
    <row r="147" spans="12:23" ht="12.75" hidden="1" customHeight="1" x14ac:dyDescent="0.2"/>
    <row r="148" spans="12:23" ht="12.75" hidden="1" customHeight="1" x14ac:dyDescent="0.2"/>
    <row r="149" spans="12:23" hidden="1" x14ac:dyDescent="0.2"/>
    <row r="150" spans="12:23" hidden="1" x14ac:dyDescent="0.2"/>
    <row r="151" spans="12:23" hidden="1" x14ac:dyDescent="0.2"/>
    <row r="152" spans="12:23" hidden="1" x14ac:dyDescent="0.2"/>
    <row r="153" spans="12:23" hidden="1" x14ac:dyDescent="0.2"/>
    <row r="154" spans="12:23" hidden="1" x14ac:dyDescent="0.2"/>
    <row r="155" spans="12:23" hidden="1" x14ac:dyDescent="0.2"/>
    <row r="156" spans="12:23" hidden="1" x14ac:dyDescent="0.2"/>
    <row r="157" spans="12:23" hidden="1" x14ac:dyDescent="0.2"/>
    <row r="158" spans="12:23" hidden="1" x14ac:dyDescent="0.2"/>
    <row r="159" spans="12:23" hidden="1" x14ac:dyDescent="0.2"/>
    <row r="160" spans="12:23" hidden="1" x14ac:dyDescent="0.2"/>
    <row r="161" spans="12:23" hidden="1" x14ac:dyDescent="0.2"/>
    <row r="162" spans="12:23" hidden="1" x14ac:dyDescent="0.2"/>
    <row r="163" spans="12:23" hidden="1" x14ac:dyDescent="0.2">
      <c r="L163" s="32"/>
      <c r="M163" s="32"/>
      <c r="N163" s="32"/>
      <c r="T163" s="32"/>
      <c r="U163" s="32"/>
      <c r="V163" s="32"/>
      <c r="W163" s="32"/>
    </row>
    <row r="164" spans="12:23" hidden="1" x14ac:dyDescent="0.2">
      <c r="L164" s="32"/>
      <c r="M164" s="32"/>
      <c r="N164" s="32"/>
      <c r="T164" s="32"/>
      <c r="U164" s="32"/>
      <c r="V164" s="32"/>
      <c r="W164" s="32"/>
    </row>
    <row r="165" spans="12:23" hidden="1" x14ac:dyDescent="0.2">
      <c r="L165" s="32"/>
      <c r="M165" s="32"/>
      <c r="N165" s="32"/>
      <c r="T165" s="32"/>
      <c r="U165" s="32"/>
      <c r="V165" s="32"/>
      <c r="W165" s="32"/>
    </row>
    <row r="166" spans="12:23" hidden="1" x14ac:dyDescent="0.2">
      <c r="L166" s="32"/>
      <c r="M166" s="32"/>
      <c r="N166" s="32"/>
      <c r="T166" s="32"/>
      <c r="U166" s="32"/>
      <c r="V166" s="32"/>
      <c r="W166" s="32"/>
    </row>
    <row r="167" spans="12:23" hidden="1" x14ac:dyDescent="0.2">
      <c r="L167" s="32"/>
      <c r="M167" s="32"/>
      <c r="N167" s="32"/>
      <c r="T167" s="32"/>
      <c r="U167" s="32"/>
      <c r="V167" s="32"/>
      <c r="W167" s="32"/>
    </row>
    <row r="168" spans="12:23" hidden="1" x14ac:dyDescent="0.2">
      <c r="L168" s="32"/>
      <c r="M168" s="32"/>
      <c r="N168" s="32"/>
      <c r="T168" s="32"/>
      <c r="U168" s="32"/>
      <c r="V168" s="32"/>
      <c r="W168" s="32"/>
    </row>
    <row r="169" spans="12:23" hidden="1" x14ac:dyDescent="0.2">
      <c r="L169" s="32"/>
      <c r="M169" s="32"/>
      <c r="N169" s="32"/>
      <c r="T169" s="32"/>
      <c r="U169" s="32"/>
      <c r="V169" s="32"/>
      <c r="W169" s="32"/>
    </row>
    <row r="170" spans="12:23" hidden="1" x14ac:dyDescent="0.2">
      <c r="L170" s="32"/>
      <c r="M170" s="32"/>
      <c r="N170" s="32"/>
      <c r="T170" s="32"/>
      <c r="U170" s="32"/>
      <c r="V170" s="32"/>
      <c r="W170" s="32"/>
    </row>
    <row r="171" spans="12:23" hidden="1" x14ac:dyDescent="0.2">
      <c r="L171" s="32"/>
      <c r="M171" s="32"/>
      <c r="N171" s="32"/>
      <c r="T171" s="32"/>
      <c r="U171" s="32"/>
      <c r="V171" s="32"/>
      <c r="W171" s="32"/>
    </row>
    <row r="172" spans="12:23" hidden="1" x14ac:dyDescent="0.2">
      <c r="L172" s="32"/>
      <c r="M172" s="32"/>
      <c r="N172" s="32"/>
      <c r="T172" s="32"/>
      <c r="U172" s="32"/>
      <c r="V172" s="32"/>
      <c r="W172" s="32"/>
    </row>
    <row r="173" spans="12:23" hidden="1" x14ac:dyDescent="0.2">
      <c r="L173" s="32"/>
      <c r="M173" s="32"/>
      <c r="N173" s="32"/>
      <c r="T173" s="32"/>
      <c r="U173" s="32"/>
      <c r="V173" s="32"/>
      <c r="W173" s="32"/>
    </row>
    <row r="174" spans="12:23" hidden="1" x14ac:dyDescent="0.2">
      <c r="L174" s="32"/>
      <c r="M174" s="32"/>
      <c r="N174" s="32"/>
      <c r="T174" s="32"/>
      <c r="U174" s="32"/>
      <c r="V174" s="32"/>
      <c r="W174" s="32"/>
    </row>
    <row r="175" spans="12:23" hidden="1" x14ac:dyDescent="0.2">
      <c r="L175" s="32"/>
      <c r="M175" s="32"/>
      <c r="N175" s="32"/>
      <c r="T175" s="32"/>
      <c r="U175" s="32"/>
      <c r="V175" s="32"/>
      <c r="W175" s="32"/>
    </row>
    <row r="176" spans="1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5" hidden="1" x14ac:dyDescent="0.2"/>
    <row r="290" spans="1:15" hidden="1" x14ac:dyDescent="0.2"/>
    <row r="291" spans="1:15" hidden="1" x14ac:dyDescent="0.2"/>
    <row r="292" spans="1:15" hidden="1" x14ac:dyDescent="0.2"/>
    <row r="293" spans="1:15" hidden="1" x14ac:dyDescent="0.2"/>
    <row r="294" spans="1:15" hidden="1" x14ac:dyDescent="0.2"/>
    <row r="295" spans="1:15" hidden="1" x14ac:dyDescent="0.2"/>
    <row r="296" spans="1:15" hidden="1" x14ac:dyDescent="0.2"/>
    <row r="297" spans="1:15" hidden="1" x14ac:dyDescent="0.2"/>
    <row r="299" spans="1:15" x14ac:dyDescent="0.2">
      <c r="A299" s="277"/>
      <c r="B299" s="277"/>
      <c r="C299" s="1364" t="s">
        <v>190</v>
      </c>
      <c r="D299" s="617"/>
      <c r="E299" s="617"/>
    </row>
    <row r="300" spans="1:15" x14ac:dyDescent="0.2">
      <c r="A300" s="279">
        <v>1</v>
      </c>
      <c r="B300" s="1334" t="str">
        <f>IFERROR(INDEX(B$1:B$100,MATCH(A300,A$1:A$100,0)),"")</f>
        <v>Andrei Grintšak, Johannes Neiland</v>
      </c>
      <c r="C300" s="55">
        <f>MAX(A300:A309)</f>
        <v>10</v>
      </c>
      <c r="D300" s="55"/>
      <c r="E300" s="55"/>
    </row>
    <row r="301" spans="1:15" x14ac:dyDescent="0.2">
      <c r="A301" s="279">
        <v>2</v>
      </c>
      <c r="B301" s="1334" t="str">
        <f t="shared" ref="B301" si="10">IFERROR(INDEX(B$1:B$100,MATCH(A301,A$1:A$100,0)),"")</f>
        <v>Boriss Klubov, Mait Metsla</v>
      </c>
      <c r="C301" s="34">
        <v>8.5</v>
      </c>
      <c r="D301" s="34"/>
      <c r="E301" s="34"/>
      <c r="O301" s="188"/>
    </row>
    <row r="302" spans="1:15" x14ac:dyDescent="0.2">
      <c r="A302" s="279">
        <v>2</v>
      </c>
      <c r="B302" s="1334" t="str">
        <f>B10</f>
        <v>Oksana Sažina, Oleg Rõndenkov</v>
      </c>
      <c r="C302" s="34">
        <v>8.5</v>
      </c>
      <c r="D302" s="34"/>
      <c r="E302" s="34"/>
      <c r="O302" s="188"/>
    </row>
    <row r="303" spans="1:15" x14ac:dyDescent="0.2">
      <c r="A303" s="279">
        <v>4</v>
      </c>
      <c r="B303" s="1334" t="str">
        <f t="shared" ref="B303:B309" si="11">IFERROR(INDEX(B$1:B$100,MATCH(A303,A$1:A$100,0)),"")</f>
        <v>Kenneth Muusikus, Urmas Randlaine</v>
      </c>
      <c r="C303" s="34">
        <v>7</v>
      </c>
      <c r="D303" s="34"/>
      <c r="E303" s="34"/>
      <c r="O303" s="188"/>
    </row>
    <row r="304" spans="1:15" x14ac:dyDescent="0.2">
      <c r="A304" s="279">
        <v>5</v>
      </c>
      <c r="B304" s="1334" t="str">
        <f t="shared" si="11"/>
        <v>Jaan Sepp, Oskar Sepp</v>
      </c>
      <c r="C304" s="34">
        <f t="shared" ref="C304:C309" si="12">C303-1</f>
        <v>6</v>
      </c>
      <c r="D304" s="34"/>
      <c r="E304" s="34"/>
      <c r="O304" s="188"/>
    </row>
    <row r="305" spans="1:15" x14ac:dyDescent="0.2">
      <c r="A305" s="279">
        <v>6</v>
      </c>
      <c r="B305" s="1334" t="str">
        <f t="shared" si="11"/>
        <v>Karla Purgats, Lemmit Toomra</v>
      </c>
      <c r="C305" s="34">
        <f t="shared" si="12"/>
        <v>5</v>
      </c>
      <c r="D305" s="34"/>
      <c r="E305" s="34"/>
    </row>
    <row r="306" spans="1:15" x14ac:dyDescent="0.2">
      <c r="A306" s="279">
        <v>7</v>
      </c>
      <c r="B306" s="1334" t="str">
        <f t="shared" si="11"/>
        <v>Illar Tõnurist, Jaan Saar</v>
      </c>
      <c r="C306" s="34">
        <f t="shared" si="12"/>
        <v>4</v>
      </c>
      <c r="D306" s="34"/>
      <c r="E306" s="34"/>
    </row>
    <row r="307" spans="1:15" x14ac:dyDescent="0.2">
      <c r="A307" s="279">
        <v>8</v>
      </c>
      <c r="B307" s="1334" t="str">
        <f t="shared" si="11"/>
        <v>Elmo Lageda, Tõnu Piik</v>
      </c>
      <c r="C307" s="34">
        <f t="shared" si="12"/>
        <v>3</v>
      </c>
      <c r="D307" s="34"/>
      <c r="E307" s="34"/>
      <c r="O307" s="188"/>
    </row>
    <row r="308" spans="1:15" x14ac:dyDescent="0.2">
      <c r="A308" s="279">
        <v>9</v>
      </c>
      <c r="B308" s="1334" t="str">
        <f t="shared" si="11"/>
        <v>Meelis Luud, Tarmo Bombe</v>
      </c>
      <c r="C308" s="34">
        <f t="shared" si="12"/>
        <v>2</v>
      </c>
      <c r="D308" s="34"/>
      <c r="E308" s="34"/>
      <c r="O308" s="188"/>
    </row>
    <row r="309" spans="1:15" x14ac:dyDescent="0.2">
      <c r="A309" s="279">
        <v>10</v>
      </c>
      <c r="B309" s="1334" t="str">
        <f t="shared" si="11"/>
        <v>Rein Allikas, Urmas Jõeäär</v>
      </c>
      <c r="C309" s="34">
        <f t="shared" si="12"/>
        <v>1</v>
      </c>
      <c r="D309" s="34"/>
      <c r="E309" s="34"/>
      <c r="O309" s="188"/>
    </row>
    <row r="310" spans="1:15" x14ac:dyDescent="0.2">
      <c r="A310" s="42"/>
      <c r="B310" s="42"/>
      <c r="C310" s="42"/>
      <c r="D310" s="42"/>
      <c r="E310" s="42"/>
      <c r="F310" s="42"/>
    </row>
    <row r="311" spans="1:15" x14ac:dyDescent="0.2">
      <c r="A311" s="42"/>
      <c r="B311" s="42"/>
      <c r="C311" s="42"/>
      <c r="D311" s="42"/>
      <c r="E311" s="42"/>
      <c r="F311" s="42"/>
    </row>
    <row r="312" spans="1:15" x14ac:dyDescent="0.2">
      <c r="A312" s="42"/>
      <c r="B312" s="42"/>
      <c r="C312" s="42"/>
      <c r="D312" s="42"/>
      <c r="E312" s="42"/>
      <c r="F312" s="42"/>
    </row>
    <row r="313" spans="1:15" x14ac:dyDescent="0.2">
      <c r="A313" s="42"/>
      <c r="B313" s="42"/>
      <c r="C313" s="42"/>
      <c r="D313" s="42"/>
      <c r="E313" s="42"/>
      <c r="F313" s="42"/>
      <c r="O313" s="188"/>
    </row>
    <row r="314" spans="1:15" x14ac:dyDescent="0.2">
      <c r="A314" s="42"/>
      <c r="B314" s="42"/>
      <c r="C314" s="42"/>
      <c r="D314" s="42"/>
      <c r="E314" s="42"/>
      <c r="F314" s="42"/>
    </row>
    <row r="315" spans="1:15" x14ac:dyDescent="0.2">
      <c r="A315" s="42"/>
      <c r="B315" s="42"/>
      <c r="C315" s="42"/>
      <c r="D315" s="42"/>
      <c r="E315" s="42"/>
      <c r="F315" s="42"/>
    </row>
    <row r="316" spans="1:15" x14ac:dyDescent="0.2">
      <c r="A316" s="42"/>
      <c r="B316" s="42"/>
      <c r="C316" s="42"/>
      <c r="D316" s="42"/>
      <c r="E316" s="42"/>
      <c r="F316" s="42"/>
    </row>
    <row r="317" spans="1:15" x14ac:dyDescent="0.2">
      <c r="A317" s="42"/>
      <c r="B317" s="42"/>
      <c r="C317" s="42"/>
      <c r="D317" s="42"/>
      <c r="E317" s="42"/>
      <c r="F317" s="42"/>
      <c r="O317" s="188"/>
    </row>
    <row r="318" spans="1:15" x14ac:dyDescent="0.2">
      <c r="A318" s="42"/>
      <c r="B318" s="42"/>
      <c r="C318" s="42"/>
      <c r="D318" s="42"/>
      <c r="E318" s="42"/>
      <c r="F318" s="42"/>
    </row>
    <row r="319" spans="1:15" x14ac:dyDescent="0.2">
      <c r="A319" s="42"/>
      <c r="B319" s="42"/>
      <c r="C319" s="42"/>
      <c r="D319" s="42"/>
      <c r="E319" s="42"/>
      <c r="F319" s="42"/>
    </row>
  </sheetData>
  <conditionalFormatting sqref="A300:A309">
    <cfRule type="duplicateValues" dxfId="438" priority="86"/>
  </conditionalFormatting>
  <conditionalFormatting sqref="AI8:AI17 AO8:AO17 AM8:AM17">
    <cfRule type="expression" dxfId="437" priority="85">
      <formula>AND(AJ8="",COUNTIF(AI8,"*,*")=0)</formula>
    </cfRule>
  </conditionalFormatting>
  <conditionalFormatting sqref="AK8:AK17">
    <cfRule type="expression" dxfId="436" priority="83">
      <formula>AND(AL8="",FIND(",",AK8))</formula>
    </cfRule>
    <cfRule type="expression" dxfId="435" priority="84">
      <formula>AND(AL8="",COUNTIF(AK8,"*,*")=0)</formula>
    </cfRule>
  </conditionalFormatting>
  <conditionalFormatting sqref="B301:B309">
    <cfRule type="containsBlanks" dxfId="434" priority="81">
      <formula>LEN(TRIM(B301))=0</formula>
    </cfRule>
    <cfRule type="duplicateValues" dxfId="433" priority="82"/>
  </conditionalFormatting>
  <conditionalFormatting sqref="B300:B309">
    <cfRule type="expression" dxfId="432" priority="76">
      <formula>A300=3</formula>
    </cfRule>
    <cfRule type="expression" dxfId="431" priority="77">
      <formula>A300=2</formula>
    </cfRule>
    <cfRule type="expression" dxfId="430" priority="78">
      <formula>A300=1</formula>
    </cfRule>
    <cfRule type="containsBlanks" dxfId="429" priority="79">
      <formula>LEN(TRIM(B300))=0</formula>
    </cfRule>
    <cfRule type="duplicateValues" dxfId="428" priority="80"/>
  </conditionalFormatting>
  <conditionalFormatting sqref="A8:A17">
    <cfRule type="duplicateValues" dxfId="427" priority="39"/>
  </conditionalFormatting>
  <conditionalFormatting sqref="C8:C17">
    <cfRule type="expression" dxfId="426" priority="21">
      <formula>IF($C8&gt;$E8,TRUE)</formula>
    </cfRule>
  </conditionalFormatting>
  <conditionalFormatting sqref="E8:E17">
    <cfRule type="expression" dxfId="425" priority="22">
      <formula>IF($C8&lt;$E8,TRUE)</formula>
    </cfRule>
  </conditionalFormatting>
  <conditionalFormatting sqref="K8:K17">
    <cfRule type="expression" dxfId="424" priority="29">
      <formula>IF($K8&gt;$M8,TRUE)</formula>
    </cfRule>
  </conditionalFormatting>
  <conditionalFormatting sqref="M8:M17">
    <cfRule type="expression" dxfId="423" priority="30">
      <formula>IF($K8&lt;$M8,TRUE)</formula>
    </cfRule>
  </conditionalFormatting>
  <conditionalFormatting sqref="O8:O17">
    <cfRule type="expression" dxfId="422" priority="33">
      <formula>IF($O8&gt;$Q8,TRUE)</formula>
    </cfRule>
  </conditionalFormatting>
  <conditionalFormatting sqref="Q8:Q17">
    <cfRule type="expression" dxfId="421" priority="34">
      <formula>IF($O8&lt;$Q8,TRUE)</formula>
    </cfRule>
  </conditionalFormatting>
  <conditionalFormatting sqref="S8:S17">
    <cfRule type="expression" dxfId="420" priority="37">
      <formula>IF($S8&gt;$U8,TRUE)</formula>
    </cfRule>
  </conditionalFormatting>
  <conditionalFormatting sqref="U8:U17">
    <cfRule type="expression" dxfId="419" priority="38">
      <formula>IF($S8&lt;$U8,TRUE)</formula>
    </cfRule>
  </conditionalFormatting>
  <conditionalFormatting sqref="G8:G17">
    <cfRule type="expression" dxfId="418" priority="25">
      <formula>IF($G8&gt;$I8,TRUE)</formula>
    </cfRule>
  </conditionalFormatting>
  <conditionalFormatting sqref="I8:I17">
    <cfRule type="expression" dxfId="417" priority="26">
      <formula>IF($G8&lt;$I8,TRUE)</formula>
    </cfRule>
  </conditionalFormatting>
  <conditionalFormatting sqref="F8:F17">
    <cfRule type="containsText" dxfId="416" priority="7" operator="containsText" text="vaba voor">
      <formula>NOT(ISERROR(SEARCH("vaba voor",F8)))</formula>
    </cfRule>
  </conditionalFormatting>
  <conditionalFormatting sqref="N8:N17">
    <cfRule type="containsText" dxfId="415" priority="5" operator="containsText" text="vaba voor">
      <formula>NOT(ISERROR(SEARCH("vaba voor",N8)))</formula>
    </cfRule>
  </conditionalFormatting>
  <conditionalFormatting sqref="R8:R17">
    <cfRule type="containsText" dxfId="414" priority="8" operator="containsText" text="vaba voor">
      <formula>NOT(ISERROR(SEARCH("vaba voor",R8)))</formula>
    </cfRule>
  </conditionalFormatting>
  <conditionalFormatting sqref="V8:V17">
    <cfRule type="containsText" dxfId="413" priority="4" operator="containsText" text="vaba voor">
      <formula>NOT(ISERROR(SEARCH("vaba voor",V8)))</formula>
    </cfRule>
  </conditionalFormatting>
  <conditionalFormatting sqref="Z8:Z17">
    <cfRule type="containsText" dxfId="412" priority="3" operator="containsText" text="vaba voor">
      <formula>NOT(ISERROR(SEARCH("vaba voor",Z8)))</formula>
    </cfRule>
  </conditionalFormatting>
  <conditionalFormatting sqref="W8:W17">
    <cfRule type="expression" dxfId="411" priority="12">
      <formula>IF($W8&gt;$Y8,TRUE)</formula>
    </cfRule>
  </conditionalFormatting>
  <conditionalFormatting sqref="Y8:Y17">
    <cfRule type="expression" dxfId="410" priority="13">
      <formula>IF($W8&lt;$Y8,TRUE)</formula>
    </cfRule>
  </conditionalFormatting>
  <conditionalFormatting sqref="J8:J17">
    <cfRule type="containsText" dxfId="409" priority="6" operator="containsText" text="vaba voor">
      <formula>NOT(ISERROR(SEARCH("vaba voor",J8)))</formula>
    </cfRule>
  </conditionalFormatting>
  <conditionalFormatting sqref="C8:F17">
    <cfRule type="expression" dxfId="408" priority="17">
      <formula>IF(AND(ISNUMBER($C8),$C8=$E8),TRUE)</formula>
    </cfRule>
    <cfRule type="expression" dxfId="407" priority="19">
      <formula>IF($C8&gt;$E8,TRUE)</formula>
    </cfRule>
    <cfRule type="expression" dxfId="406" priority="20">
      <formula>IF($C8&lt;$E8,TRUE)</formula>
    </cfRule>
  </conditionalFormatting>
  <conditionalFormatting sqref="G8:J17">
    <cfRule type="expression" dxfId="405" priority="18">
      <formula>IF(AND(ISNUMBER($G8),$G8=$I8),TRUE)</formula>
    </cfRule>
    <cfRule type="expression" dxfId="404" priority="23">
      <formula>IF($G8&gt;$I8,TRUE)</formula>
    </cfRule>
    <cfRule type="expression" dxfId="403" priority="24">
      <formula>IF($G8&lt;$I8,TRUE)</formula>
    </cfRule>
  </conditionalFormatting>
  <conditionalFormatting sqref="K8:N17">
    <cfRule type="expression" dxfId="402" priority="16">
      <formula>IF(AND(ISNUMBER($K8),$K8=$M8),TRUE)</formula>
    </cfRule>
    <cfRule type="expression" dxfId="401" priority="27">
      <formula>IF($K8&gt;$M8,TRUE)</formula>
    </cfRule>
    <cfRule type="expression" dxfId="400" priority="28">
      <formula>IF($K8&lt;$M8,TRUE)</formula>
    </cfRule>
  </conditionalFormatting>
  <conditionalFormatting sqref="O8:R17">
    <cfRule type="expression" dxfId="399" priority="15">
      <formula>IF(AND(ISNUMBER($O8),$O8=$Q8),TRUE)</formula>
    </cfRule>
    <cfRule type="expression" dxfId="398" priority="31">
      <formula>IF($O8&gt;$Q8,TRUE)</formula>
    </cfRule>
    <cfRule type="expression" dxfId="397" priority="32">
      <formula>IF($O8&lt;$Q8,TRUE)</formula>
    </cfRule>
  </conditionalFormatting>
  <conditionalFormatting sqref="S8:V17">
    <cfRule type="expression" dxfId="396" priority="14">
      <formula>IF(AND(ISNUMBER($S8),$S8=$U8),TRUE)</formula>
    </cfRule>
    <cfRule type="expression" dxfId="395" priority="35">
      <formula>IF($S8&gt;$U8,TRUE)</formula>
    </cfRule>
    <cfRule type="expression" dxfId="394" priority="36">
      <formula>IF($S8&lt;$U8,TRUE)</formula>
    </cfRule>
  </conditionalFormatting>
  <conditionalFormatting sqref="W8:Z17">
    <cfRule type="expression" dxfId="393" priority="9">
      <formula>IF(AND(ISNUMBER($W8),$W8=$Y8),TRUE)</formula>
    </cfRule>
    <cfRule type="expression" dxfId="392" priority="10">
      <formula>IF($W8&gt;$Y8,TRUE)</formula>
    </cfRule>
    <cfRule type="expression" dxfId="391" priority="11">
      <formula>IF($W8&lt;$Y8,TRUE)</formula>
    </cfRule>
  </conditionalFormatting>
  <conditionalFormatting sqref="C8:C17 G8:G17 K8:K17 O8:O17 S8:S17 W8:W17">
    <cfRule type="expression" dxfId="390" priority="1">
      <formula>AND(C8=0,E8=13)</formula>
    </cfRule>
  </conditionalFormatting>
  <conditionalFormatting sqref="E8:E17 I8:I17 M8:M17 Q8:Q17 U8:U17 Y8:Y17">
    <cfRule type="expression" dxfId="389" priority="2">
      <formula>AND(E8=0,C8=13)</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CFFCC"/>
    <pageSetUpPr fitToPage="1"/>
  </sheetPr>
  <dimension ref="A1:AR328"/>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47.42578125" style="32"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30.7109375" style="32" hidden="1" customWidth="1"/>
    <col min="38" max="38" width="9.140625" style="32" hidden="1" customWidth="1"/>
    <col min="39" max="39" width="17.28515625" style="32" hidden="1" customWidth="1"/>
    <col min="40" max="40" width="9.140625" style="32" hidden="1" customWidth="1"/>
    <col min="41" max="41" width="15.28515625" style="32" hidden="1" customWidth="1"/>
    <col min="42" max="42" width="9.140625" style="32" hidden="1" customWidth="1"/>
    <col min="43" max="16384" width="9.140625" style="32"/>
  </cols>
  <sheetData>
    <row r="1" spans="1:42" x14ac:dyDescent="0.2">
      <c r="A1" s="31" t="str">
        <f>UPPER((Kalend!E37)&amp;" - "&amp;(Kalend!C37)&amp;" - "&amp;(Kalend!D37))</f>
        <v>V8 - VOKA 5. KV 8.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"&amp;(Kalend!A37)&amp;" kell "&amp;(Kalend!B37)</f>
        <v>Toimumisaeg: K, 15.08.2018 kell 18:00</v>
      </c>
      <c r="Y2" s="56" t="s">
        <v>449</v>
      </c>
      <c r="AE2" s="56" t="s">
        <v>449</v>
      </c>
    </row>
    <row r="3" spans="1:42" x14ac:dyDescent="0.2">
      <c r="A3" s="2" t="str">
        <f>"Toimumiskoht: "&amp;(Kalend!F37)</f>
        <v>Toimumiskoht: Voka staadion</v>
      </c>
      <c r="G3" s="1337"/>
      <c r="H3" s="1337"/>
      <c r="I3" s="1338" t="s">
        <v>446</v>
      </c>
      <c r="J3" s="659">
        <v>1</v>
      </c>
      <c r="K3" s="188" t="s">
        <v>493</v>
      </c>
    </row>
    <row r="4" spans="1:42" x14ac:dyDescent="0.2">
      <c r="A4" s="2" t="str">
        <f>"Korraldaja: "&amp;(Kalend!G37)</f>
        <v>Korraldaja: Johannes Neiland</v>
      </c>
      <c r="G4" s="1341"/>
      <c r="H4" s="1341"/>
      <c r="I4" s="1342" t="s">
        <v>447</v>
      </c>
      <c r="J4" s="658">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22" t="s">
        <v>611</v>
      </c>
      <c r="C8" s="1323">
        <v>13</v>
      </c>
      <c r="D8" s="1324" t="s">
        <v>211</v>
      </c>
      <c r="E8" s="1325">
        <v>1</v>
      </c>
      <c r="F8" s="1315" t="str">
        <f>B9</f>
        <v>Aigi Orro, Kalle Orro</v>
      </c>
      <c r="G8" s="1323">
        <v>4</v>
      </c>
      <c r="H8" s="1324" t="s">
        <v>211</v>
      </c>
      <c r="I8" s="1325">
        <v>13</v>
      </c>
      <c r="J8" s="1315" t="str">
        <f>B12</f>
        <v>Boriss Klubov, Mait Metsla</v>
      </c>
      <c r="K8" s="1323">
        <v>13</v>
      </c>
      <c r="L8" s="1324" t="s">
        <v>211</v>
      </c>
      <c r="M8" s="1325">
        <v>3</v>
      </c>
      <c r="N8" s="1315" t="str">
        <f>B14</f>
        <v>Karla Purgats, Lemmit Toomra</v>
      </c>
      <c r="O8" s="1323">
        <v>13</v>
      </c>
      <c r="P8" s="1324" t="s">
        <v>211</v>
      </c>
      <c r="Q8" s="1325">
        <v>4</v>
      </c>
      <c r="R8" s="1315" t="str">
        <f>B16</f>
        <v>Kenneth Muusikus, Peep Peenema, Urmas Randlaine</v>
      </c>
      <c r="S8" s="1323">
        <v>10</v>
      </c>
      <c r="T8" s="1324" t="s">
        <v>211</v>
      </c>
      <c r="U8" s="1325">
        <v>9</v>
      </c>
      <c r="V8" s="1315" t="str">
        <f>B10</f>
        <v>Elmo Lageda, Tõnu Piik</v>
      </c>
      <c r="W8" s="1323"/>
      <c r="X8" s="1324" t="s">
        <v>211</v>
      </c>
      <c r="Y8" s="1325"/>
      <c r="Z8" s="1315"/>
      <c r="AA8" s="1330">
        <f>IF(C8&gt;E8,J$3,IF(C8&lt;E8,J$5,IF(ISNUMBER(C8),J$4,0)))+IF(G8&gt;I8,J$3,IF(G8&lt;I8,J$5,IF(ISNUMBER(G8),J$4,0)))+IF(K8&gt;M8,J$3,IF(K8&lt;M8,J$5,IF(ISNUMBER(K8),J$4,0)))+IF(O8&gt;Q8,J$3,IF(O8&lt;Q8,J$5,IF(ISNUMBER(O8),J$4,0)))+IF(S8&gt;U8,J$3,IF(S8&lt;U8,J$5,IF(ISNUMBER(S8),J$4,0)))+IF(W8&gt;Y8,J$3,IF(W8&lt;Y8,J$5,IF(ISNUMBER(W8),J$4,0)))</f>
        <v>4</v>
      </c>
      <c r="AB8" s="1331"/>
      <c r="AC8" s="1323">
        <f t="shared" ref="AC8:AC18" si="0">C8+G8+K8+O8+S8+W8</f>
        <v>53</v>
      </c>
      <c r="AD8" s="1324" t="s">
        <v>211</v>
      </c>
      <c r="AE8" s="1326">
        <f t="shared" ref="AE8:AE18" si="1">E8+I8+M8+Q8+U8+Y8</f>
        <v>30</v>
      </c>
      <c r="AF8" s="1327">
        <f t="shared" ref="AF8:AF18" si="2">AC8-AE8</f>
        <v>23</v>
      </c>
      <c r="AG8" s="663"/>
      <c r="AH8" s="499">
        <f t="shared" ref="AH8:AH18" si="3">SUM(AJ8:AP8)</f>
        <v>132</v>
      </c>
      <c r="AI8" s="605" t="str">
        <f t="shared" ref="AI8:AI19" si="4">IFERROR(LEFT($B8,(FIND(",",$B8,1)-1)),"")</f>
        <v>Einar Juhkam</v>
      </c>
      <c r="AJ8" s="604">
        <f>IFERROR(INDEX(V!$N:$N,MATCH(AI8,V!$I:$I,0)),"")</f>
        <v>34</v>
      </c>
      <c r="AK8" s="605" t="str">
        <f t="shared" ref="AK8:AK19" si="5">IFERROR(MID($B8,FIND(", ",$B8)+2,256),"")</f>
        <v>Jaan Sepp</v>
      </c>
      <c r="AL8" s="604">
        <f>IFERROR(INDEX(V!$N:$N,MATCH(AK8,V!$I:$I,0)),"")</f>
        <v>98</v>
      </c>
      <c r="AM8" s="603" t="str">
        <f t="shared" ref="AM8:AM19" si="6">IFERROR(MID($B8,FIND("^",SUBSTITUTE($B8,", ","^",1))+2,FIND("^",SUBSTITUTE($B8,", ","^",2))-FIND("^",SUBSTITUTE($B8,", ","^",1))-2),"")</f>
        <v/>
      </c>
      <c r="AN8" s="604" t="str">
        <f>IFERROR(INDEX(V!$N:$N,MATCH(AM8,V!$I:$I,0)),"")</f>
        <v/>
      </c>
      <c r="AO8" s="603" t="str">
        <f t="shared" ref="AO8:AO19" si="7">IFERROR(MID($B8,FIND(", ",$B8,FIND(", ",$B8,FIND(", ",$B8))+1)+2,700),"")</f>
        <v/>
      </c>
      <c r="AP8" s="604" t="str">
        <f>IFERROR(INDEX(V!$N:$N,MATCH(AO8,V!$I:$I,0)),"")</f>
        <v/>
      </c>
    </row>
    <row r="9" spans="1:42" ht="12.75" customHeight="1" x14ac:dyDescent="0.2">
      <c r="A9" s="1319">
        <v>2</v>
      </c>
      <c r="B9" s="1322" t="s">
        <v>37</v>
      </c>
      <c r="C9" s="1323">
        <v>1</v>
      </c>
      <c r="D9" s="1324" t="s">
        <v>211</v>
      </c>
      <c r="E9" s="1325">
        <v>13</v>
      </c>
      <c r="F9" s="1315" t="str">
        <f>B8</f>
        <v>Einar Juhkam, Jaan Sepp</v>
      </c>
      <c r="G9" s="1323">
        <v>11</v>
      </c>
      <c r="H9" s="1324" t="s">
        <v>211</v>
      </c>
      <c r="I9" s="1325">
        <v>4</v>
      </c>
      <c r="J9" s="1315" t="str">
        <f>B18</f>
        <v>Illar Tõnurist, Jaan Saar</v>
      </c>
      <c r="K9" s="1323">
        <v>9</v>
      </c>
      <c r="L9" s="1324" t="s">
        <v>211</v>
      </c>
      <c r="M9" s="1325">
        <v>8</v>
      </c>
      <c r="N9" s="1315" t="str">
        <f>B11</f>
        <v>Aarne Välja, Janek Tarto</v>
      </c>
      <c r="O9" s="1323">
        <v>13</v>
      </c>
      <c r="P9" s="1324" t="s">
        <v>211</v>
      </c>
      <c r="Q9" s="1325">
        <v>6</v>
      </c>
      <c r="R9" s="1315" t="str">
        <f>B13</f>
        <v>Oksana Sažina, Ülo Piik</v>
      </c>
      <c r="S9" s="1323">
        <v>13</v>
      </c>
      <c r="T9" s="1324" t="s">
        <v>211</v>
      </c>
      <c r="U9" s="1325">
        <v>8</v>
      </c>
      <c r="V9" s="1315" t="str">
        <f>B12</f>
        <v>Boriss Klubov, Mait Metsla</v>
      </c>
      <c r="W9" s="1323"/>
      <c r="X9" s="1324" t="s">
        <v>211</v>
      </c>
      <c r="Y9" s="1325"/>
      <c r="Z9" s="1315"/>
      <c r="AA9" s="1330">
        <f t="shared" ref="AA9:AA18" si="8">IF(C9&gt;E9,J$3,IF(C9&lt;E9,J$5,IF(ISNUMBER(C9),J$4,0)))+IF(G9&gt;I9,J$3,IF(G9&lt;I9,J$5,IF(ISNUMBER(G9),J$4,0)))+IF(K9&gt;M9,J$3,IF(K9&lt;M9,J$5,IF(ISNUMBER(K9),J$4,0)))+IF(O9&gt;Q9,J$3,IF(O9&lt;Q9,J$5,IF(ISNUMBER(O9),J$4,0)))+IF(S9&gt;U9,J$3,IF(S9&lt;U9,J$5,IF(ISNUMBER(S9),J$4,0)))+IF(W9&gt;Y9,J$3,IF(W9&lt;Y9,J$5,IF(ISNUMBER(W9),J$4,0)))</f>
        <v>4</v>
      </c>
      <c r="AB9" s="1331"/>
      <c r="AC9" s="1323">
        <f t="shared" si="0"/>
        <v>47</v>
      </c>
      <c r="AD9" s="1324" t="s">
        <v>211</v>
      </c>
      <c r="AE9" s="1326">
        <f t="shared" si="1"/>
        <v>39</v>
      </c>
      <c r="AF9" s="1327">
        <f t="shared" si="2"/>
        <v>8</v>
      </c>
      <c r="AG9" s="663"/>
      <c r="AH9" s="499">
        <f t="shared" si="3"/>
        <v>47</v>
      </c>
      <c r="AI9" s="605" t="str">
        <f t="shared" si="4"/>
        <v>Aigi Orro</v>
      </c>
      <c r="AJ9" s="604">
        <f>IFERROR(INDEX(V!$N:$N,MATCH(AI9,V!$I:$I,0)),"")</f>
        <v>23.5</v>
      </c>
      <c r="AK9" s="605" t="str">
        <f t="shared" si="5"/>
        <v>Kalle Orro</v>
      </c>
      <c r="AL9" s="604">
        <f>IFERROR(INDEX(V!$N:$N,MATCH(AK9,V!$I:$I,0)),"")</f>
        <v>23.5</v>
      </c>
      <c r="AM9" s="603" t="str">
        <f t="shared" si="6"/>
        <v/>
      </c>
      <c r="AN9" s="604" t="str">
        <f>IFERROR(INDEX(V!$N:$N,MATCH(AM9,V!$I:$I,0)),"")</f>
        <v/>
      </c>
      <c r="AO9" s="603" t="str">
        <f t="shared" si="7"/>
        <v/>
      </c>
      <c r="AP9" s="604" t="str">
        <f>IFERROR(INDEX(V!$N:$N,MATCH(AO9,V!$I:$I,0)),"")</f>
        <v/>
      </c>
    </row>
    <row r="10" spans="1:42" ht="12.75" customHeight="1" x14ac:dyDescent="0.2">
      <c r="A10" s="1319">
        <v>2</v>
      </c>
      <c r="B10" s="1328" t="s">
        <v>33</v>
      </c>
      <c r="C10" s="1323">
        <v>13</v>
      </c>
      <c r="D10" s="1324" t="s">
        <v>211</v>
      </c>
      <c r="E10" s="1325">
        <v>8</v>
      </c>
      <c r="F10" s="1315" t="s">
        <v>34</v>
      </c>
      <c r="G10" s="1323">
        <v>13</v>
      </c>
      <c r="H10" s="1324" t="s">
        <v>211</v>
      </c>
      <c r="I10" s="1325">
        <v>3</v>
      </c>
      <c r="J10" s="1315" t="s">
        <v>441</v>
      </c>
      <c r="K10" s="1323">
        <v>13</v>
      </c>
      <c r="L10" s="1324" t="s">
        <v>211</v>
      </c>
      <c r="M10" s="1325">
        <v>4</v>
      </c>
      <c r="N10" s="1315" t="s">
        <v>566</v>
      </c>
      <c r="O10" s="1323">
        <v>13</v>
      </c>
      <c r="P10" s="1324" t="s">
        <v>211</v>
      </c>
      <c r="Q10" s="1325">
        <v>12</v>
      </c>
      <c r="R10" s="1315" t="s">
        <v>483</v>
      </c>
      <c r="S10" s="1323">
        <v>9</v>
      </c>
      <c r="T10" s="1324" t="s">
        <v>211</v>
      </c>
      <c r="U10" s="1325">
        <v>10</v>
      </c>
      <c r="V10" s="1315" t="s">
        <v>611</v>
      </c>
      <c r="W10" s="1323"/>
      <c r="X10" s="1324" t="s">
        <v>211</v>
      </c>
      <c r="Y10" s="1325"/>
      <c r="Z10" s="1315"/>
      <c r="AA10" s="1330">
        <f t="shared" si="8"/>
        <v>4</v>
      </c>
      <c r="AB10" s="1331"/>
      <c r="AC10" s="1323">
        <f t="shared" si="0"/>
        <v>61</v>
      </c>
      <c r="AD10" s="1324" t="s">
        <v>211</v>
      </c>
      <c r="AE10" s="1326">
        <f t="shared" si="1"/>
        <v>37</v>
      </c>
      <c r="AF10" s="1327">
        <f t="shared" si="2"/>
        <v>24</v>
      </c>
      <c r="AG10" s="663"/>
      <c r="AH10" s="499">
        <f t="shared" si="3"/>
        <v>180</v>
      </c>
      <c r="AI10" s="605" t="str">
        <f t="shared" si="4"/>
        <v>Elmo Lageda</v>
      </c>
      <c r="AJ10" s="604">
        <f>IFERROR(INDEX(V!$N:$N,MATCH(AI10,V!$I:$I,0)),"")</f>
        <v>91</v>
      </c>
      <c r="AK10" s="605" t="str">
        <f t="shared" si="5"/>
        <v>Tõnu Piik</v>
      </c>
      <c r="AL10" s="604">
        <f>IFERROR(INDEX(V!$N:$N,MATCH(AK10,V!$I:$I,0)),"")</f>
        <v>89</v>
      </c>
      <c r="AM10" s="603" t="str">
        <f t="shared" si="6"/>
        <v/>
      </c>
      <c r="AN10" s="604" t="str">
        <f>IFERROR(INDEX(V!$N:$N,MATCH(AM10,V!$I:$I,0)),"")</f>
        <v/>
      </c>
      <c r="AO10" s="603" t="str">
        <f t="shared" si="7"/>
        <v/>
      </c>
      <c r="AP10" s="604" t="str">
        <f>IFERROR(INDEX(V!$N:$N,MATCH(AO10,V!$I:$I,0)),"")</f>
        <v/>
      </c>
    </row>
    <row r="11" spans="1:42" ht="12.75" customHeight="1" x14ac:dyDescent="0.2">
      <c r="A11" s="1319">
        <v>4</v>
      </c>
      <c r="B11" s="1328" t="s">
        <v>483</v>
      </c>
      <c r="C11" s="1323">
        <v>13</v>
      </c>
      <c r="D11" s="1324" t="s">
        <v>211</v>
      </c>
      <c r="E11" s="1325">
        <v>12</v>
      </c>
      <c r="F11" s="1315" t="str">
        <f>B16</f>
        <v>Kenneth Muusikus, Peep Peenema, Urmas Randlaine</v>
      </c>
      <c r="G11" s="1323">
        <v>13</v>
      </c>
      <c r="H11" s="1324" t="s">
        <v>211</v>
      </c>
      <c r="I11" s="1325">
        <v>6</v>
      </c>
      <c r="J11" s="1315" t="str">
        <f>B13</f>
        <v>Oksana Sažina, Ülo Piik</v>
      </c>
      <c r="K11" s="1323">
        <v>8</v>
      </c>
      <c r="L11" s="1324" t="s">
        <v>211</v>
      </c>
      <c r="M11" s="1325">
        <v>9</v>
      </c>
      <c r="N11" s="1315" t="str">
        <f>B9</f>
        <v>Aigi Orro, Kalle Orro</v>
      </c>
      <c r="O11" s="1323">
        <v>12</v>
      </c>
      <c r="P11" s="1324" t="s">
        <v>211</v>
      </c>
      <c r="Q11" s="1325">
        <v>13</v>
      </c>
      <c r="R11" s="1315" t="str">
        <f>B10</f>
        <v>Elmo Lageda, Tõnu Piik</v>
      </c>
      <c r="S11" s="1323">
        <v>13</v>
      </c>
      <c r="T11" s="1324" t="s">
        <v>211</v>
      </c>
      <c r="U11" s="1325">
        <v>4</v>
      </c>
      <c r="V11" s="1315" t="str">
        <f>B17</f>
        <v>Ljudmila Varendi, Viktor Švarõgin</v>
      </c>
      <c r="W11" s="1323"/>
      <c r="X11" s="1324" t="s">
        <v>211</v>
      </c>
      <c r="Y11" s="1325"/>
      <c r="Z11" s="1315"/>
      <c r="AA11" s="1335">
        <f t="shared" si="8"/>
        <v>3</v>
      </c>
      <c r="AB11" s="1331"/>
      <c r="AC11" s="1323">
        <f t="shared" si="0"/>
        <v>59</v>
      </c>
      <c r="AD11" s="1324" t="s">
        <v>211</v>
      </c>
      <c r="AE11" s="1326">
        <f t="shared" si="1"/>
        <v>44</v>
      </c>
      <c r="AF11" s="1327">
        <f t="shared" si="2"/>
        <v>15</v>
      </c>
      <c r="AG11" s="663"/>
      <c r="AH11" s="499">
        <f t="shared" si="3"/>
        <v>56.5</v>
      </c>
      <c r="AI11" s="605" t="str">
        <f t="shared" si="4"/>
        <v>Aarne Välja</v>
      </c>
      <c r="AJ11" s="604">
        <f>IFERROR(INDEX(V!$N:$N,MATCH(AI11,V!$I:$I,0)),"")</f>
        <v>22</v>
      </c>
      <c r="AK11" s="605" t="str">
        <f t="shared" si="5"/>
        <v>Janek Tarto</v>
      </c>
      <c r="AL11" s="604">
        <f>IFERROR(INDEX(V!$N:$N,MATCH(AK11,V!$I:$I,0)),"")</f>
        <v>34.5</v>
      </c>
      <c r="AM11" s="603" t="str">
        <f t="shared" si="6"/>
        <v/>
      </c>
      <c r="AN11" s="604" t="str">
        <f>IFERROR(INDEX(V!$N:$N,MATCH(AM11,V!$I:$I,0)),"")</f>
        <v/>
      </c>
      <c r="AO11" s="603" t="str">
        <f t="shared" si="7"/>
        <v/>
      </c>
      <c r="AP11" s="604" t="str">
        <f>IFERROR(INDEX(V!$N:$N,MATCH(AO11,V!$I:$I,0)),"")</f>
        <v/>
      </c>
    </row>
    <row r="12" spans="1:42" ht="12.75" customHeight="1" x14ac:dyDescent="0.2">
      <c r="A12" s="1319">
        <v>5</v>
      </c>
      <c r="B12" s="1328" t="s">
        <v>566</v>
      </c>
      <c r="C12" s="1323">
        <v>13</v>
      </c>
      <c r="D12" s="1324" t="s">
        <v>211</v>
      </c>
      <c r="E12" s="1325">
        <v>4</v>
      </c>
      <c r="F12" s="1315" t="str">
        <f>B18</f>
        <v>Illar Tõnurist, Jaan Saar</v>
      </c>
      <c r="G12" s="1323">
        <v>13</v>
      </c>
      <c r="H12" s="1324" t="s">
        <v>211</v>
      </c>
      <c r="I12" s="1325">
        <v>4</v>
      </c>
      <c r="J12" s="1315" t="str">
        <f>B8</f>
        <v>Einar Juhkam, Jaan Sepp</v>
      </c>
      <c r="K12" s="1323">
        <v>4</v>
      </c>
      <c r="L12" s="1324" t="s">
        <v>211</v>
      </c>
      <c r="M12" s="1325">
        <v>13</v>
      </c>
      <c r="N12" s="1315" t="str">
        <f>B10</f>
        <v>Elmo Lageda, Tõnu Piik</v>
      </c>
      <c r="O12" s="1323">
        <v>11</v>
      </c>
      <c r="P12" s="1324" t="s">
        <v>211</v>
      </c>
      <c r="Q12" s="1325">
        <v>10</v>
      </c>
      <c r="R12" s="1315" t="str">
        <f>B15</f>
        <v>Brigitta Neiland, Johannes Neiland, Merilin Neiland</v>
      </c>
      <c r="S12" s="1323">
        <v>8</v>
      </c>
      <c r="T12" s="1324" t="s">
        <v>211</v>
      </c>
      <c r="U12" s="1325">
        <v>13</v>
      </c>
      <c r="V12" s="1315" t="str">
        <f>B9</f>
        <v>Aigi Orro, Kalle Orro</v>
      </c>
      <c r="W12" s="1323"/>
      <c r="X12" s="1324" t="s">
        <v>211</v>
      </c>
      <c r="Y12" s="1325"/>
      <c r="Z12" s="1315"/>
      <c r="AA12" s="1335">
        <f t="shared" si="8"/>
        <v>3</v>
      </c>
      <c r="AB12" s="1331"/>
      <c r="AC12" s="1323">
        <f t="shared" si="0"/>
        <v>49</v>
      </c>
      <c r="AD12" s="1324" t="s">
        <v>211</v>
      </c>
      <c r="AE12" s="1326">
        <f t="shared" si="1"/>
        <v>44</v>
      </c>
      <c r="AF12" s="1327">
        <f t="shared" si="2"/>
        <v>5</v>
      </c>
      <c r="AG12" s="663"/>
      <c r="AH12" s="499">
        <f t="shared" si="3"/>
        <v>154</v>
      </c>
      <c r="AI12" s="605" t="str">
        <f t="shared" si="4"/>
        <v>Boriss Klubov</v>
      </c>
      <c r="AJ12" s="604">
        <f>IFERROR(INDEX(V!$N:$N,MATCH(AI12,V!$I:$I,0)),"")</f>
        <v>65</v>
      </c>
      <c r="AK12" s="605" t="str">
        <f t="shared" si="5"/>
        <v>Mait Metsla</v>
      </c>
      <c r="AL12" s="604">
        <f>IFERROR(INDEX(V!$N:$N,MATCH(AK12,V!$I:$I,0)),"")</f>
        <v>89</v>
      </c>
      <c r="AM12" s="603" t="str">
        <f t="shared" si="6"/>
        <v/>
      </c>
      <c r="AN12" s="604" t="str">
        <f>IFERROR(INDEX(V!$N:$N,MATCH(AM12,V!$I:$I,0)),"")</f>
        <v/>
      </c>
      <c r="AO12" s="603" t="str">
        <f t="shared" si="7"/>
        <v/>
      </c>
      <c r="AP12" s="604" t="str">
        <f>IFERROR(INDEX(V!$N:$N,MATCH(AO12,V!$I:$I,0)),"")</f>
        <v/>
      </c>
    </row>
    <row r="13" spans="1:42" ht="12.75" customHeight="1" x14ac:dyDescent="0.2">
      <c r="A13" s="1319">
        <v>6</v>
      </c>
      <c r="B13" s="1328" t="s">
        <v>612</v>
      </c>
      <c r="C13" s="1323">
        <v>13</v>
      </c>
      <c r="D13" s="1324" t="s">
        <v>211</v>
      </c>
      <c r="E13" s="1325">
        <v>9</v>
      </c>
      <c r="F13" s="1315" t="str">
        <f>B19</f>
        <v>Ronald Jõeäär, Urmas Jõeäär</v>
      </c>
      <c r="G13" s="1323">
        <v>6</v>
      </c>
      <c r="H13" s="1324" t="s">
        <v>211</v>
      </c>
      <c r="I13" s="1325">
        <v>13</v>
      </c>
      <c r="J13" s="1315" t="str">
        <f>B11</f>
        <v>Aarne Välja, Janek Tarto</v>
      </c>
      <c r="K13" s="1323">
        <v>11</v>
      </c>
      <c r="L13" s="1324" t="s">
        <v>211</v>
      </c>
      <c r="M13" s="1325">
        <v>7</v>
      </c>
      <c r="N13" s="1315" t="str">
        <f>B18</f>
        <v>Illar Tõnurist, Jaan Saar</v>
      </c>
      <c r="O13" s="1323">
        <v>6</v>
      </c>
      <c r="P13" s="1324" t="s">
        <v>211</v>
      </c>
      <c r="Q13" s="1325">
        <v>13</v>
      </c>
      <c r="R13" s="1315" t="str">
        <f>B9</f>
        <v>Aigi Orro, Kalle Orro</v>
      </c>
      <c r="S13" s="1323">
        <v>13</v>
      </c>
      <c r="T13" s="1324" t="s">
        <v>211</v>
      </c>
      <c r="U13" s="1325">
        <v>5</v>
      </c>
      <c r="V13" s="1315" t="str">
        <f>B16</f>
        <v>Kenneth Muusikus, Peep Peenema, Urmas Randlaine</v>
      </c>
      <c r="W13" s="1323"/>
      <c r="X13" s="1324" t="s">
        <v>211</v>
      </c>
      <c r="Y13" s="1325"/>
      <c r="Z13" s="1315"/>
      <c r="AA13" s="1335">
        <f t="shared" si="8"/>
        <v>3</v>
      </c>
      <c r="AB13" s="1331"/>
      <c r="AC13" s="1323">
        <f t="shared" si="0"/>
        <v>49</v>
      </c>
      <c r="AD13" s="1324" t="s">
        <v>211</v>
      </c>
      <c r="AE13" s="1326">
        <f t="shared" si="1"/>
        <v>47</v>
      </c>
      <c r="AF13" s="1327">
        <f t="shared" si="2"/>
        <v>2</v>
      </c>
      <c r="AG13" s="663"/>
      <c r="AH13" s="499">
        <f t="shared" si="3"/>
        <v>94</v>
      </c>
      <c r="AI13" s="605" t="str">
        <f t="shared" si="4"/>
        <v>Oksana Sažina</v>
      </c>
      <c r="AJ13" s="604">
        <f>IFERROR(INDEX(V!$N:$N,MATCH(AI13,V!$I:$I,0)),"")</f>
        <v>72</v>
      </c>
      <c r="AK13" s="605" t="str">
        <f t="shared" si="5"/>
        <v>Ülo Piik</v>
      </c>
      <c r="AL13" s="604">
        <f>IFERROR(INDEX(V!$N:$N,MATCH(AK13,V!$I:$I,0)),"")</f>
        <v>22</v>
      </c>
      <c r="AM13" s="603" t="str">
        <f t="shared" si="6"/>
        <v/>
      </c>
      <c r="AN13" s="604" t="str">
        <f>IFERROR(INDEX(V!$N:$N,MATCH(AM13,V!$I:$I,0)),"")</f>
        <v/>
      </c>
      <c r="AO13" s="603" t="str">
        <f t="shared" si="7"/>
        <v/>
      </c>
      <c r="AP13" s="604" t="str">
        <f>IFERROR(INDEX(V!$N:$N,MATCH(AO13,V!$I:$I,0)),"")</f>
        <v/>
      </c>
    </row>
    <row r="14" spans="1:42" ht="12.75" customHeight="1" x14ac:dyDescent="0.2">
      <c r="A14" s="1319">
        <v>7</v>
      </c>
      <c r="B14" s="1328" t="s">
        <v>441</v>
      </c>
      <c r="C14" s="1323">
        <v>13</v>
      </c>
      <c r="D14" s="1324" t="s">
        <v>211</v>
      </c>
      <c r="E14" s="1325">
        <v>5</v>
      </c>
      <c r="F14" s="1315" t="str">
        <f>B15</f>
        <v>Brigitta Neiland, Johannes Neiland, Merilin Neiland</v>
      </c>
      <c r="G14" s="1323">
        <v>3</v>
      </c>
      <c r="H14" s="1324" t="s">
        <v>211</v>
      </c>
      <c r="I14" s="1325">
        <v>13</v>
      </c>
      <c r="J14" s="1315" t="str">
        <f>B10</f>
        <v>Elmo Lageda, Tõnu Piik</v>
      </c>
      <c r="K14" s="1323">
        <v>3</v>
      </c>
      <c r="L14" s="1324" t="s">
        <v>211</v>
      </c>
      <c r="M14" s="1325">
        <v>13</v>
      </c>
      <c r="N14" s="1315" t="str">
        <f>B8</f>
        <v>Einar Juhkam, Jaan Sepp</v>
      </c>
      <c r="O14" s="1323">
        <v>12</v>
      </c>
      <c r="P14" s="1324" t="s">
        <v>211</v>
      </c>
      <c r="Q14" s="1325">
        <v>12</v>
      </c>
      <c r="R14" s="1315" t="str">
        <f>B17</f>
        <v>Ljudmila Varendi, Viktor Švarõgin</v>
      </c>
      <c r="S14" s="1323">
        <v>13</v>
      </c>
      <c r="T14" s="1324" t="s">
        <v>211</v>
      </c>
      <c r="U14" s="1325">
        <v>4</v>
      </c>
      <c r="V14" s="1315" t="str">
        <f>B19</f>
        <v>Ronald Jõeäär, Urmas Jõeäär</v>
      </c>
      <c r="W14" s="1323"/>
      <c r="X14" s="1324" t="s">
        <v>211</v>
      </c>
      <c r="Y14" s="1325"/>
      <c r="Z14" s="1315"/>
      <c r="AA14" s="1330">
        <f t="shared" si="8"/>
        <v>2.5</v>
      </c>
      <c r="AB14" s="1331"/>
      <c r="AC14" s="1323">
        <f t="shared" si="0"/>
        <v>44</v>
      </c>
      <c r="AD14" s="1324" t="s">
        <v>211</v>
      </c>
      <c r="AE14" s="1326">
        <f t="shared" si="1"/>
        <v>47</v>
      </c>
      <c r="AF14" s="1327">
        <f t="shared" si="2"/>
        <v>-3</v>
      </c>
      <c r="AG14" s="663"/>
      <c r="AH14" s="499">
        <f t="shared" si="3"/>
        <v>92</v>
      </c>
      <c r="AI14" s="605" t="str">
        <f t="shared" si="4"/>
        <v>Karla Purgats</v>
      </c>
      <c r="AJ14" s="604">
        <f>IFERROR(INDEX(V!$N:$N,MATCH(AI14,V!$I:$I,0)),"")</f>
        <v>46.5</v>
      </c>
      <c r="AK14" s="605" t="str">
        <f t="shared" si="5"/>
        <v>Lemmit Toomra</v>
      </c>
      <c r="AL14" s="604">
        <f>IFERROR(INDEX(V!$N:$N,MATCH(AK14,V!$I:$I,0)),"")</f>
        <v>45.5</v>
      </c>
      <c r="AM14" s="603" t="str">
        <f t="shared" si="6"/>
        <v/>
      </c>
      <c r="AN14" s="604" t="str">
        <f>IFERROR(INDEX(V!$N:$N,MATCH(AM14,V!$I:$I,0)),"")</f>
        <v/>
      </c>
      <c r="AO14" s="603" t="str">
        <f t="shared" si="7"/>
        <v/>
      </c>
      <c r="AP14" s="604" t="str">
        <f>IFERROR(INDEX(V!$N:$N,MATCH(AO14,V!$I:$I,0)),"")</f>
        <v/>
      </c>
    </row>
    <row r="15" spans="1:42" ht="12.75" customHeight="1" x14ac:dyDescent="0.2">
      <c r="A15" s="1319">
        <v>8</v>
      </c>
      <c r="B15" s="1328" t="s">
        <v>728</v>
      </c>
      <c r="C15" s="1323">
        <v>5</v>
      </c>
      <c r="D15" s="1324" t="s">
        <v>211</v>
      </c>
      <c r="E15" s="1325">
        <v>13</v>
      </c>
      <c r="F15" s="1315" t="str">
        <f>B14</f>
        <v>Karla Purgats, Lemmit Toomra</v>
      </c>
      <c r="G15" s="1323">
        <v>6</v>
      </c>
      <c r="H15" s="1324" t="s">
        <v>211</v>
      </c>
      <c r="I15" s="1325">
        <v>13</v>
      </c>
      <c r="J15" s="1315" t="str">
        <f>B17</f>
        <v>Ljudmila Varendi, Viktor Švarõgin</v>
      </c>
      <c r="K15" s="1323">
        <v>13</v>
      </c>
      <c r="L15" s="1324" t="s">
        <v>211</v>
      </c>
      <c r="M15" s="1325">
        <v>3</v>
      </c>
      <c r="N15" s="1315" t="str">
        <f>B19</f>
        <v>Ronald Jõeäär, Urmas Jõeäär</v>
      </c>
      <c r="O15" s="1323">
        <v>10</v>
      </c>
      <c r="P15" s="1324" t="s">
        <v>211</v>
      </c>
      <c r="Q15" s="1325">
        <v>11</v>
      </c>
      <c r="R15" s="1315" t="str">
        <f>B12</f>
        <v>Boriss Klubov, Mait Metsla</v>
      </c>
      <c r="S15" s="1323">
        <v>13</v>
      </c>
      <c r="T15" s="1324" t="s">
        <v>211</v>
      </c>
      <c r="U15" s="1325">
        <v>4</v>
      </c>
      <c r="V15" s="1315" t="str">
        <f>B18</f>
        <v>Illar Tõnurist, Jaan Saar</v>
      </c>
      <c r="W15" s="1323"/>
      <c r="X15" s="1324" t="s">
        <v>211</v>
      </c>
      <c r="Y15" s="1325"/>
      <c r="Z15" s="1315"/>
      <c r="AA15" s="1335">
        <f t="shared" si="8"/>
        <v>2</v>
      </c>
      <c r="AB15" s="1331"/>
      <c r="AC15" s="1323">
        <f t="shared" si="0"/>
        <v>47</v>
      </c>
      <c r="AD15" s="1324" t="s">
        <v>211</v>
      </c>
      <c r="AE15" s="1326">
        <f t="shared" si="1"/>
        <v>44</v>
      </c>
      <c r="AF15" s="1327">
        <f t="shared" si="2"/>
        <v>3</v>
      </c>
      <c r="AG15" s="663"/>
      <c r="AH15" s="499">
        <f t="shared" si="3"/>
        <v>165</v>
      </c>
      <c r="AI15" s="605" t="str">
        <f>IFERROR(LEFT($B16,(FIND(",",$B16,1)-1)),"")</f>
        <v>Kenneth Muusikus</v>
      </c>
      <c r="AJ15" s="604">
        <f>IFERROR(INDEX(V!$N:$N,MATCH(AI15,V!$I:$I,0)),"")</f>
        <v>87</v>
      </c>
      <c r="AK15" s="605" t="str">
        <f>IFERROR(MID($B16,FIND(", ",$B16)+2,256),"")</f>
        <v>Peep Peenema, Urmas Randlaine</v>
      </c>
      <c r="AL15" s="604" t="str">
        <f>IFERROR(INDEX(V!$N:$N,MATCH(AK15,V!$I:$I,0)),"")</f>
        <v/>
      </c>
      <c r="AM15" s="603" t="str">
        <f>IFERROR(MID($B16,FIND("^",SUBSTITUTE($B16,", ","^",1))+2,FIND("^",SUBSTITUTE($B16,", ","^",2))-FIND("^",SUBSTITUTE($B16,", ","^",1))-2),"")</f>
        <v>Peep Peenema</v>
      </c>
      <c r="AN15" s="604">
        <f>IFERROR(INDEX(V!$N:$N,MATCH(AM15,V!$I:$I,0)),"")</f>
        <v>24.5</v>
      </c>
      <c r="AO15" s="603" t="str">
        <f>IFERROR(MID($B16,FIND(", ",$B16,FIND(", ",$B16,FIND(", ",$B16))+1)+2,700),"")</f>
        <v>Urmas Randlaine</v>
      </c>
      <c r="AP15" s="604">
        <f>IFERROR(INDEX(V!$N:$N,MATCH(AO15,V!$I:$I,0)),"")</f>
        <v>53.5</v>
      </c>
    </row>
    <row r="16" spans="1:42" ht="12.75" customHeight="1" x14ac:dyDescent="0.2">
      <c r="A16" s="1319">
        <v>8</v>
      </c>
      <c r="B16" s="1328" t="s">
        <v>758</v>
      </c>
      <c r="C16" s="1323">
        <v>12</v>
      </c>
      <c r="D16" s="1324" t="s">
        <v>211</v>
      </c>
      <c r="E16" s="1325">
        <v>13</v>
      </c>
      <c r="F16" s="1315" t="str">
        <f>B11</f>
        <v>Aarne Välja, Janek Tarto</v>
      </c>
      <c r="G16" s="1323">
        <v>13</v>
      </c>
      <c r="H16" s="1324" t="s">
        <v>211</v>
      </c>
      <c r="I16" s="1325">
        <v>2</v>
      </c>
      <c r="J16" s="1315" t="str">
        <f>B19</f>
        <v>Ronald Jõeäär, Urmas Jõeäär</v>
      </c>
      <c r="K16" s="1323">
        <v>13</v>
      </c>
      <c r="L16" s="1324" t="s">
        <v>211</v>
      </c>
      <c r="M16" s="1325">
        <v>7</v>
      </c>
      <c r="N16" s="1315" t="str">
        <f>B17</f>
        <v>Ljudmila Varendi, Viktor Švarõgin</v>
      </c>
      <c r="O16" s="1323">
        <v>4</v>
      </c>
      <c r="P16" s="1324" t="s">
        <v>211</v>
      </c>
      <c r="Q16" s="1325">
        <v>13</v>
      </c>
      <c r="R16" s="1315" t="str">
        <f>B8</f>
        <v>Einar Juhkam, Jaan Sepp</v>
      </c>
      <c r="S16" s="1323">
        <v>5</v>
      </c>
      <c r="T16" s="1324" t="s">
        <v>211</v>
      </c>
      <c r="U16" s="1325">
        <v>13</v>
      </c>
      <c r="V16" s="1315" t="str">
        <f>B13</f>
        <v>Oksana Sažina, Ülo Piik</v>
      </c>
      <c r="W16" s="1323"/>
      <c r="X16" s="1324" t="s">
        <v>211</v>
      </c>
      <c r="Y16" s="1325"/>
      <c r="Z16" s="1315"/>
      <c r="AA16" s="1335">
        <f t="shared" si="8"/>
        <v>2</v>
      </c>
      <c r="AB16" s="1331"/>
      <c r="AC16" s="1323">
        <f t="shared" si="0"/>
        <v>47</v>
      </c>
      <c r="AD16" s="1324" t="s">
        <v>211</v>
      </c>
      <c r="AE16" s="1326">
        <f t="shared" si="1"/>
        <v>48</v>
      </c>
      <c r="AF16" s="1327">
        <f t="shared" si="2"/>
        <v>-1</v>
      </c>
      <c r="AG16" s="663"/>
      <c r="AH16" s="499">
        <f t="shared" si="3"/>
        <v>86</v>
      </c>
      <c r="AI16" s="605" t="str">
        <f>IFERROR(LEFT($B15,(FIND(",",$B15,1)-1)),"")</f>
        <v>Brigitta Neiland</v>
      </c>
      <c r="AJ16" s="604">
        <f>IFERROR(INDEX(V!$N:$N,MATCH(AI16,V!$I:$I,0)),"")</f>
        <v>22.5</v>
      </c>
      <c r="AK16" s="605" t="str">
        <f>IFERROR(MID($B15,FIND(", ",$B15)+2,256),"")</f>
        <v>Johannes Neiland, Merilin Neiland</v>
      </c>
      <c r="AL16" s="604" t="str">
        <f>IFERROR(INDEX(V!$N:$N,MATCH(AK16,V!$I:$I,0)),"")</f>
        <v/>
      </c>
      <c r="AM16" s="603" t="str">
        <f>IFERROR(MID($B15,FIND("^",SUBSTITUTE($B15,", ","^",1))+2,FIND("^",SUBSTITUTE($B15,", ","^",2))-FIND("^",SUBSTITUTE($B15,", ","^",1))-2),"")</f>
        <v>Johannes Neiland</v>
      </c>
      <c r="AN16" s="604">
        <f>IFERROR(INDEX(V!$N:$N,MATCH(AM16,V!$I:$I,0)),"")</f>
        <v>59</v>
      </c>
      <c r="AO16" s="603" t="str">
        <f>IFERROR(MID($B15,FIND(", ",$B15,FIND(", ",$B15,FIND(", ",$B15))+1)+2,700),"")</f>
        <v>Merilin Neiland</v>
      </c>
      <c r="AP16" s="604">
        <f>IFERROR(INDEX(V!$N:$N,MATCH(AO16,V!$I:$I,0)),"")</f>
        <v>4.5</v>
      </c>
    </row>
    <row r="17" spans="1:42" ht="12.75" customHeight="1" x14ac:dyDescent="0.2">
      <c r="A17" s="1319">
        <v>10</v>
      </c>
      <c r="B17" s="1322" t="s">
        <v>34</v>
      </c>
      <c r="C17" s="1323">
        <v>8</v>
      </c>
      <c r="D17" s="1324" t="s">
        <v>211</v>
      </c>
      <c r="E17" s="1325">
        <v>13</v>
      </c>
      <c r="F17" s="1315" t="str">
        <f>B10</f>
        <v>Elmo Lageda, Tõnu Piik</v>
      </c>
      <c r="G17" s="1323">
        <v>13</v>
      </c>
      <c r="H17" s="1324" t="s">
        <v>211</v>
      </c>
      <c r="I17" s="1325">
        <v>6</v>
      </c>
      <c r="J17" s="1315" t="str">
        <f>B15</f>
        <v>Brigitta Neiland, Johannes Neiland, Merilin Neiland</v>
      </c>
      <c r="K17" s="1323">
        <v>7</v>
      </c>
      <c r="L17" s="1324" t="s">
        <v>211</v>
      </c>
      <c r="M17" s="1325">
        <v>13</v>
      </c>
      <c r="N17" s="1315" t="str">
        <f>B16</f>
        <v>Kenneth Muusikus, Peep Peenema, Urmas Randlaine</v>
      </c>
      <c r="O17" s="1323">
        <v>12</v>
      </c>
      <c r="P17" s="1324" t="s">
        <v>211</v>
      </c>
      <c r="Q17" s="1325">
        <v>12</v>
      </c>
      <c r="R17" s="1315" t="str">
        <f>B14</f>
        <v>Karla Purgats, Lemmit Toomra</v>
      </c>
      <c r="S17" s="1323">
        <v>4</v>
      </c>
      <c r="T17" s="1324" t="s">
        <v>211</v>
      </c>
      <c r="U17" s="1325">
        <v>13</v>
      </c>
      <c r="V17" s="1315" t="str">
        <f>B11</f>
        <v>Aarne Välja, Janek Tarto</v>
      </c>
      <c r="W17" s="1323"/>
      <c r="X17" s="1324" t="s">
        <v>211</v>
      </c>
      <c r="Y17" s="1325"/>
      <c r="Z17" s="1315"/>
      <c r="AA17" s="1330">
        <f t="shared" si="8"/>
        <v>1.5</v>
      </c>
      <c r="AB17" s="1331"/>
      <c r="AC17" s="1323">
        <f t="shared" si="0"/>
        <v>44</v>
      </c>
      <c r="AD17" s="1324" t="s">
        <v>211</v>
      </c>
      <c r="AE17" s="1326">
        <f t="shared" si="1"/>
        <v>57</v>
      </c>
      <c r="AF17" s="1327">
        <f t="shared" si="2"/>
        <v>-13</v>
      </c>
      <c r="AG17" s="663"/>
      <c r="AH17" s="499">
        <f t="shared" si="3"/>
        <v>6</v>
      </c>
      <c r="AI17" s="605" t="str">
        <f t="shared" si="4"/>
        <v>Ljudmila Varendi</v>
      </c>
      <c r="AJ17" s="604">
        <f>IFERROR(INDEX(V!$N:$N,MATCH(AI17,V!$I:$I,0)),"")</f>
        <v>3</v>
      </c>
      <c r="AK17" s="605" t="str">
        <f t="shared" si="5"/>
        <v>Viktor Švarõgin</v>
      </c>
      <c r="AL17" s="604">
        <f>IFERROR(INDEX(V!$N:$N,MATCH(AK17,V!$I:$I,0)),"")</f>
        <v>3</v>
      </c>
      <c r="AM17" s="603" t="str">
        <f t="shared" si="6"/>
        <v/>
      </c>
      <c r="AN17" s="604" t="str">
        <f>IFERROR(INDEX(V!$N:$N,MATCH(AM17,V!$I:$I,0)),"")</f>
        <v/>
      </c>
      <c r="AO17" s="603" t="str">
        <f t="shared" si="7"/>
        <v/>
      </c>
      <c r="AP17" s="604" t="str">
        <f>IFERROR(INDEX(V!$N:$N,MATCH(AO17,V!$I:$I,0)),"")</f>
        <v/>
      </c>
    </row>
    <row r="18" spans="1:42" ht="12.75" customHeight="1" x14ac:dyDescent="0.2">
      <c r="A18" s="1319">
        <v>11</v>
      </c>
      <c r="B18" s="1329" t="s">
        <v>36</v>
      </c>
      <c r="C18" s="1323">
        <v>4</v>
      </c>
      <c r="D18" s="1324" t="s">
        <v>211</v>
      </c>
      <c r="E18" s="1325">
        <v>13</v>
      </c>
      <c r="F18" s="1315" t="str">
        <f>B12</f>
        <v>Boriss Klubov, Mait Metsla</v>
      </c>
      <c r="G18" s="1323">
        <v>4</v>
      </c>
      <c r="H18" s="1324" t="s">
        <v>211</v>
      </c>
      <c r="I18" s="1325">
        <v>11</v>
      </c>
      <c r="J18" s="1315" t="str">
        <f>B9</f>
        <v>Aigi Orro, Kalle Orro</v>
      </c>
      <c r="K18" s="1323">
        <v>7</v>
      </c>
      <c r="L18" s="1324" t="s">
        <v>211</v>
      </c>
      <c r="M18" s="1325">
        <v>11</v>
      </c>
      <c r="N18" s="1315" t="str">
        <f>B13</f>
        <v>Oksana Sažina, Ülo Piik</v>
      </c>
      <c r="O18" s="1323">
        <v>13</v>
      </c>
      <c r="P18" s="1324" t="s">
        <v>211</v>
      </c>
      <c r="Q18" s="1325">
        <v>5</v>
      </c>
      <c r="R18" s="1315" t="str">
        <f>B19</f>
        <v>Ronald Jõeäär, Urmas Jõeäär</v>
      </c>
      <c r="S18" s="1323">
        <v>4</v>
      </c>
      <c r="T18" s="1324" t="s">
        <v>211</v>
      </c>
      <c r="U18" s="1325">
        <v>13</v>
      </c>
      <c r="V18" s="1315" t="str">
        <f>B15</f>
        <v>Brigitta Neiland, Johannes Neiland, Merilin Neiland</v>
      </c>
      <c r="W18" s="1323"/>
      <c r="X18" s="1324" t="s">
        <v>211</v>
      </c>
      <c r="Y18" s="1325"/>
      <c r="Z18" s="1315"/>
      <c r="AA18" s="1330">
        <f t="shared" si="8"/>
        <v>1</v>
      </c>
      <c r="AB18" s="1331"/>
      <c r="AC18" s="1323">
        <f t="shared" si="0"/>
        <v>32</v>
      </c>
      <c r="AD18" s="1324" t="s">
        <v>211</v>
      </c>
      <c r="AE18" s="1326">
        <f t="shared" si="1"/>
        <v>53</v>
      </c>
      <c r="AF18" s="1327">
        <f t="shared" si="2"/>
        <v>-21</v>
      </c>
      <c r="AG18" s="663"/>
      <c r="AH18" s="499">
        <f t="shared" si="3"/>
        <v>28</v>
      </c>
      <c r="AI18" s="605" t="str">
        <f t="shared" si="4"/>
        <v>Illar Tõnurist</v>
      </c>
      <c r="AJ18" s="604">
        <f>IFERROR(INDEX(V!$N:$N,MATCH(AI18,V!$I:$I,0)),"")</f>
        <v>14</v>
      </c>
      <c r="AK18" s="605" t="str">
        <f t="shared" si="5"/>
        <v>Jaan Saar</v>
      </c>
      <c r="AL18" s="604">
        <f>IFERROR(INDEX(V!$N:$N,MATCH(AK18,V!$I:$I,0)),"")</f>
        <v>14</v>
      </c>
      <c r="AM18" s="603" t="str">
        <f t="shared" si="6"/>
        <v/>
      </c>
      <c r="AN18" s="604" t="str">
        <f>IFERROR(INDEX(V!$N:$N,MATCH(AM18,V!$I:$I,0)),"")</f>
        <v/>
      </c>
      <c r="AO18" s="603" t="str">
        <f t="shared" si="7"/>
        <v/>
      </c>
      <c r="AP18" s="604" t="str">
        <f>IFERROR(INDEX(V!$N:$N,MATCH(AO18,V!$I:$I,0)),"")</f>
        <v/>
      </c>
    </row>
    <row r="19" spans="1:42" ht="12.75" customHeight="1" x14ac:dyDescent="0.2">
      <c r="A19" s="1319">
        <v>12</v>
      </c>
      <c r="B19" s="1329" t="s">
        <v>613</v>
      </c>
      <c r="C19" s="1323">
        <v>9</v>
      </c>
      <c r="D19" s="1324" t="s">
        <v>211</v>
      </c>
      <c r="E19" s="1325">
        <v>13</v>
      </c>
      <c r="F19" s="1315" t="str">
        <f>B13</f>
        <v>Oksana Sažina, Ülo Piik</v>
      </c>
      <c r="G19" s="1323">
        <v>2</v>
      </c>
      <c r="H19" s="1324" t="s">
        <v>211</v>
      </c>
      <c r="I19" s="1325">
        <v>13</v>
      </c>
      <c r="J19" s="1315" t="str">
        <f>B16</f>
        <v>Kenneth Muusikus, Peep Peenema, Urmas Randlaine</v>
      </c>
      <c r="K19" s="1323">
        <v>3</v>
      </c>
      <c r="L19" s="1324" t="s">
        <v>211</v>
      </c>
      <c r="M19" s="1325">
        <v>13</v>
      </c>
      <c r="N19" s="1315" t="str">
        <f>B15</f>
        <v>Brigitta Neiland, Johannes Neiland, Merilin Neiland</v>
      </c>
      <c r="O19" s="1323">
        <v>5</v>
      </c>
      <c r="P19" s="1324" t="s">
        <v>211</v>
      </c>
      <c r="Q19" s="1325">
        <v>13</v>
      </c>
      <c r="R19" s="1315" t="str">
        <f>B18</f>
        <v>Illar Tõnurist, Jaan Saar</v>
      </c>
      <c r="S19" s="1323">
        <v>4</v>
      </c>
      <c r="T19" s="1324" t="s">
        <v>211</v>
      </c>
      <c r="U19" s="1325">
        <v>13</v>
      </c>
      <c r="V19" s="1315" t="str">
        <f>B14</f>
        <v>Karla Purgats, Lemmit Toomra</v>
      </c>
      <c r="W19" s="1323"/>
      <c r="X19" s="1324" t="s">
        <v>211</v>
      </c>
      <c r="Y19" s="1325"/>
      <c r="Z19" s="1315"/>
      <c r="AA19" s="1330">
        <f>IF(C19&gt;E19,J$3,IF(C19&lt;E19,J$5,IF(ISNUMBER(C19),J$4,0)))+IF(G19&gt;I19,J$3,IF(G19&lt;I19,J$5,IF(ISNUMBER(G19),J$4,0)))+IF(K19&gt;M19,J$3,IF(K19&lt;M19,J$5,IF(ISNUMBER(K19),J$4,0)))+IF(O19&gt;Q19,J$3,IF(O19&lt;Q19,J$5,IF(ISNUMBER(O19),J$4,0)))+IF(S19&gt;U19,J$3,IF(S19&lt;U19,J$5,IF(ISNUMBER(S19),J$4,0)))+IF(W19&gt;Y19,J$3,IF(W19&lt;Y19,J$5,IF(ISNUMBER(W19),J$4,0)))</f>
        <v>0</v>
      </c>
      <c r="AB19" s="1331"/>
      <c r="AC19" s="1323">
        <f t="shared" ref="AC19" si="9">C19+G19+K19+O19+S19+W19</f>
        <v>23</v>
      </c>
      <c r="AD19" s="1324" t="s">
        <v>211</v>
      </c>
      <c r="AE19" s="1326">
        <f t="shared" ref="AE19" si="10">E19+I19+M19+Q19+U19+Y19</f>
        <v>65</v>
      </c>
      <c r="AF19" s="1327">
        <f t="shared" ref="AF19" si="11">AC19-AE19</f>
        <v>-42</v>
      </c>
      <c r="AG19" s="663"/>
      <c r="AH19" s="499">
        <f t="shared" ref="AH19" si="12">SUM(AJ19:AP19)</f>
        <v>75.5</v>
      </c>
      <c r="AI19" s="605" t="str">
        <f t="shared" si="4"/>
        <v>Ronald Jõeäär</v>
      </c>
      <c r="AJ19" s="604">
        <f>IFERROR(INDEX(V!$N:$N,MATCH(AI19,V!$I:$I,0)),"")</f>
        <v>8</v>
      </c>
      <c r="AK19" s="605" t="str">
        <f t="shared" si="5"/>
        <v>Urmas Jõeäär</v>
      </c>
      <c r="AL19" s="604">
        <f>IFERROR(INDEX(V!$N:$N,MATCH(AK19,V!$I:$I,0)),"")</f>
        <v>67.5</v>
      </c>
      <c r="AM19" s="603" t="str">
        <f t="shared" si="6"/>
        <v/>
      </c>
      <c r="AN19" s="604" t="str">
        <f>IFERROR(INDEX(V!$N:$N,MATCH(AM19,V!$I:$I,0)),"")</f>
        <v/>
      </c>
      <c r="AO19" s="603" t="str">
        <f t="shared" si="7"/>
        <v/>
      </c>
      <c r="AP19" s="604" t="str">
        <f>IFERROR(INDEX(V!$N:$N,MATCH(AO19,V!$I:$I,0)),"")</f>
        <v/>
      </c>
    </row>
    <row r="20" spans="1:42" ht="12.75" hidden="1" customHeight="1" x14ac:dyDescent="0.2">
      <c r="V20" s="1360"/>
      <c r="W20" s="1360"/>
      <c r="X20" s="1360"/>
      <c r="Y20" s="1360"/>
      <c r="Z20" s="1360"/>
      <c r="AA20" s="1360"/>
      <c r="AB20" s="1360"/>
      <c r="AC20" s="1360"/>
      <c r="AD20" s="1360"/>
      <c r="AE20" s="1360"/>
    </row>
    <row r="21" spans="1:42" ht="12.75" hidden="1" customHeight="1" x14ac:dyDescent="0.2">
      <c r="L21" s="32"/>
      <c r="M21" s="32"/>
      <c r="N21" s="32"/>
      <c r="T21" s="32"/>
      <c r="U21" s="32"/>
      <c r="V21" s="1360"/>
      <c r="W21" s="1360"/>
      <c r="X21" s="1360"/>
      <c r="Y21" s="1360"/>
      <c r="Z21" s="1360"/>
      <c r="AA21" s="1360"/>
      <c r="AB21" s="1360"/>
      <c r="AC21" s="1360"/>
      <c r="AD21" s="1360"/>
      <c r="AE21" s="1360"/>
    </row>
    <row r="22" spans="1:42" ht="12.75" hidden="1" customHeight="1" x14ac:dyDescent="0.2">
      <c r="L22" s="32"/>
      <c r="M22" s="32"/>
      <c r="N22" s="32"/>
      <c r="T22" s="32"/>
      <c r="U22" s="32"/>
      <c r="V22" s="1360"/>
      <c r="W22" s="1360"/>
      <c r="X22" s="1360"/>
      <c r="Y22" s="1360"/>
      <c r="Z22" s="1360"/>
      <c r="AA22" s="1360"/>
      <c r="AB22" s="1360"/>
      <c r="AC22" s="1360"/>
      <c r="AD22" s="1360"/>
      <c r="AE22" s="1360"/>
    </row>
    <row r="23" spans="1:42" ht="12.75" hidden="1" customHeight="1" x14ac:dyDescent="0.2">
      <c r="K23" s="42"/>
      <c r="L23" s="32"/>
      <c r="M23" s="32"/>
      <c r="N23" s="32"/>
      <c r="T23" s="32"/>
      <c r="U23" s="32"/>
      <c r="V23" s="1360"/>
      <c r="W23" s="1360"/>
      <c r="X23" s="1360"/>
      <c r="Y23" s="1360"/>
      <c r="Z23" s="1360"/>
      <c r="AA23" s="1360"/>
      <c r="AB23" s="1360"/>
      <c r="AC23" s="1360"/>
      <c r="AD23" s="1360"/>
      <c r="AE23" s="1360"/>
    </row>
    <row r="24" spans="1:42" ht="12.75" hidden="1" customHeight="1" x14ac:dyDescent="0.2">
      <c r="K24" s="42"/>
      <c r="L24" s="32"/>
      <c r="M24" s="32"/>
      <c r="N24" s="32"/>
      <c r="T24" s="32"/>
      <c r="U24" s="32"/>
      <c r="V24" s="1360"/>
      <c r="W24" s="1360"/>
      <c r="X24" s="1360"/>
      <c r="Y24" s="1360"/>
      <c r="Z24" s="1360"/>
      <c r="AA24" s="1360"/>
      <c r="AB24" s="1360"/>
      <c r="AC24" s="1360"/>
      <c r="AD24" s="1360"/>
      <c r="AE24" s="1360"/>
    </row>
    <row r="25" spans="1:42" ht="12.75" hidden="1" customHeight="1" x14ac:dyDescent="0.2">
      <c r="K25" s="42"/>
      <c r="L25" s="32"/>
      <c r="M25" s="32"/>
      <c r="N25" s="32"/>
      <c r="T25" s="32"/>
      <c r="U25" s="32"/>
      <c r="V25" s="1360"/>
      <c r="W25" s="1360"/>
      <c r="X25" s="1360"/>
      <c r="Y25" s="1360"/>
      <c r="Z25" s="1360"/>
      <c r="AA25" s="1360"/>
      <c r="AB25" s="1360"/>
      <c r="AC25" s="1360"/>
      <c r="AD25" s="1360"/>
      <c r="AE25" s="1360"/>
    </row>
    <row r="26" spans="1:42" ht="12.75" hidden="1" customHeight="1" x14ac:dyDescent="0.2">
      <c r="L26" s="32"/>
      <c r="M26" s="32"/>
      <c r="N26" s="32"/>
      <c r="T26" s="32"/>
      <c r="U26" s="32"/>
      <c r="V26" s="1360"/>
      <c r="W26" s="1360"/>
      <c r="X26" s="1360"/>
      <c r="Y26" s="1360"/>
      <c r="Z26" s="1360"/>
      <c r="AA26" s="1360"/>
      <c r="AB26" s="1360"/>
      <c r="AC26" s="1360"/>
      <c r="AD26" s="1360"/>
      <c r="AE26" s="1360"/>
    </row>
    <row r="27" spans="1:42" ht="12.75" hidden="1" customHeight="1" x14ac:dyDescent="0.2">
      <c r="L27" s="32"/>
      <c r="M27" s="32"/>
      <c r="N27" s="32"/>
      <c r="T27" s="32"/>
      <c r="U27" s="32"/>
      <c r="V27" s="1360"/>
      <c r="W27" s="1360"/>
      <c r="X27" s="1360"/>
      <c r="Y27" s="1360"/>
      <c r="Z27" s="1360"/>
      <c r="AA27" s="1360"/>
      <c r="AB27" s="1360"/>
      <c r="AC27" s="1360"/>
      <c r="AD27" s="1360"/>
      <c r="AE27" s="1360"/>
    </row>
    <row r="28" spans="1:42" ht="12.75" hidden="1" customHeight="1" x14ac:dyDescent="0.2">
      <c r="L28" s="32"/>
      <c r="M28" s="32"/>
      <c r="N28" s="32"/>
      <c r="T28" s="32"/>
      <c r="U28" s="32"/>
      <c r="V28" s="1360"/>
      <c r="W28" s="1360"/>
      <c r="X28" s="1360"/>
      <c r="Y28" s="1360"/>
      <c r="Z28" s="1360"/>
      <c r="AA28" s="1360"/>
      <c r="AB28" s="1360"/>
      <c r="AC28" s="1360"/>
      <c r="AD28" s="1360"/>
      <c r="AE28" s="1360"/>
    </row>
    <row r="29" spans="1:42" ht="12.75" hidden="1" customHeight="1" x14ac:dyDescent="0.2">
      <c r="L29" s="32"/>
      <c r="M29" s="32"/>
      <c r="N29" s="32"/>
      <c r="T29" s="32"/>
      <c r="U29" s="32"/>
      <c r="V29" s="1360"/>
      <c r="W29" s="1360"/>
      <c r="X29" s="1360"/>
      <c r="Y29" s="1360"/>
      <c r="Z29" s="1360"/>
      <c r="AA29" s="1360"/>
      <c r="AB29" s="1360"/>
      <c r="AC29" s="1360"/>
      <c r="AD29" s="1360"/>
      <c r="AE29" s="1360"/>
    </row>
    <row r="30" spans="1:42" ht="12.75" hidden="1" customHeight="1" x14ac:dyDescent="0.2">
      <c r="L30" s="32"/>
      <c r="M30" s="32"/>
      <c r="N30" s="32"/>
      <c r="T30" s="32"/>
      <c r="U30" s="32"/>
      <c r="V30" s="1360"/>
      <c r="W30" s="1360"/>
      <c r="X30" s="1360"/>
      <c r="Y30" s="1360"/>
      <c r="Z30" s="1360"/>
      <c r="AA30" s="1360"/>
      <c r="AB30" s="1360"/>
      <c r="AC30" s="1360"/>
      <c r="AD30" s="1360"/>
      <c r="AE30" s="1360"/>
    </row>
    <row r="31" spans="1:42" ht="12.75" hidden="1" customHeight="1" x14ac:dyDescent="0.2">
      <c r="L31" s="32"/>
      <c r="M31" s="32"/>
      <c r="N31" s="32"/>
      <c r="T31" s="32"/>
      <c r="U31" s="32"/>
      <c r="V31" s="1360"/>
      <c r="W31" s="1360"/>
      <c r="X31" s="1360"/>
      <c r="Y31" s="1360"/>
      <c r="Z31" s="1360"/>
      <c r="AA31" s="1360"/>
      <c r="AB31" s="1360"/>
      <c r="AC31" s="1360"/>
      <c r="AD31" s="1360"/>
      <c r="AE31" s="1360"/>
    </row>
    <row r="32" spans="1:42" ht="12.75" hidden="1" customHeight="1" x14ac:dyDescent="0.2">
      <c r="L32" s="32"/>
      <c r="M32" s="32"/>
      <c r="N32" s="32"/>
      <c r="T32" s="32"/>
      <c r="U32" s="32"/>
      <c r="V32" s="1360"/>
      <c r="W32" s="1360"/>
      <c r="X32" s="1360"/>
      <c r="Y32" s="1360"/>
      <c r="Z32" s="1360"/>
      <c r="AA32" s="1360"/>
      <c r="AB32" s="1360"/>
      <c r="AC32" s="1360"/>
      <c r="AD32" s="1360"/>
      <c r="AE32" s="1360"/>
    </row>
    <row r="33" spans="12:31" ht="12.75" hidden="1" customHeight="1" x14ac:dyDescent="0.2">
      <c r="L33" s="32"/>
      <c r="M33" s="32"/>
      <c r="N33" s="32"/>
      <c r="T33" s="32"/>
      <c r="U33" s="32"/>
      <c r="V33" s="1360"/>
      <c r="W33" s="1360"/>
      <c r="X33" s="1360"/>
      <c r="Y33" s="1360"/>
      <c r="Z33" s="1360"/>
      <c r="AA33" s="1360"/>
      <c r="AB33" s="1360"/>
      <c r="AC33" s="1360"/>
      <c r="AD33" s="1360"/>
      <c r="AE33" s="1360"/>
    </row>
    <row r="34" spans="12:31" ht="12.75" hidden="1" customHeight="1" x14ac:dyDescent="0.2">
      <c r="L34" s="32"/>
      <c r="M34" s="32"/>
      <c r="N34" s="32"/>
      <c r="T34" s="32"/>
      <c r="U34" s="32"/>
      <c r="V34" s="1360"/>
      <c r="W34" s="1360"/>
      <c r="X34" s="1360"/>
      <c r="Y34" s="1360"/>
      <c r="Z34" s="1360"/>
      <c r="AA34" s="1360"/>
      <c r="AB34" s="1360"/>
      <c r="AC34" s="1360"/>
      <c r="AD34" s="1360"/>
      <c r="AE34" s="1360"/>
    </row>
    <row r="35" spans="12:31" ht="12.75" hidden="1" customHeight="1" x14ac:dyDescent="0.2">
      <c r="L35" s="32"/>
      <c r="M35" s="32"/>
      <c r="N35" s="32"/>
      <c r="T35" s="32"/>
      <c r="U35" s="32"/>
      <c r="V35" s="1360"/>
      <c r="W35" s="1360"/>
      <c r="X35" s="1360"/>
      <c r="Y35" s="1360"/>
      <c r="Z35" s="1360"/>
      <c r="AA35" s="1360"/>
      <c r="AB35" s="1360"/>
      <c r="AC35" s="1360"/>
      <c r="AD35" s="1360"/>
      <c r="AE35" s="1360"/>
    </row>
    <row r="36" spans="12:31" ht="12.75" hidden="1" customHeight="1" x14ac:dyDescent="0.2">
      <c r="L36" s="32"/>
      <c r="M36" s="32"/>
      <c r="N36" s="32"/>
      <c r="T36" s="32"/>
      <c r="U36" s="32"/>
      <c r="V36" s="1360"/>
      <c r="W36" s="1360"/>
      <c r="X36" s="1360"/>
      <c r="Y36" s="1360"/>
      <c r="Z36" s="1360"/>
      <c r="AA36" s="1360"/>
      <c r="AB36" s="1360"/>
      <c r="AC36" s="1360"/>
      <c r="AD36" s="1360"/>
      <c r="AE36" s="1360"/>
    </row>
    <row r="37" spans="12:31" ht="12.75" hidden="1" customHeight="1" x14ac:dyDescent="0.2">
      <c r="L37" s="32"/>
      <c r="M37" s="32"/>
      <c r="N37" s="32"/>
      <c r="T37" s="32"/>
      <c r="U37" s="32"/>
      <c r="V37" s="1360"/>
      <c r="W37" s="1360"/>
      <c r="X37" s="1360"/>
      <c r="Y37" s="1360"/>
      <c r="Z37" s="1360"/>
      <c r="AA37" s="1360"/>
      <c r="AB37" s="1360"/>
      <c r="AC37" s="1360"/>
      <c r="AD37" s="1360"/>
      <c r="AE37" s="1360"/>
    </row>
    <row r="38" spans="12:31" ht="12.75" hidden="1" customHeight="1" x14ac:dyDescent="0.2">
      <c r="L38" s="32"/>
      <c r="M38" s="32"/>
      <c r="N38" s="32"/>
      <c r="T38" s="32"/>
      <c r="U38" s="32"/>
      <c r="V38" s="1360"/>
      <c r="W38" s="1360"/>
      <c r="X38" s="1360"/>
      <c r="Y38" s="1360"/>
      <c r="Z38" s="1360"/>
      <c r="AA38" s="1360"/>
      <c r="AB38" s="1360"/>
      <c r="AC38" s="1360"/>
      <c r="AD38" s="1360"/>
      <c r="AE38" s="1360"/>
    </row>
    <row r="39" spans="12:31" ht="12.75" hidden="1" customHeight="1" x14ac:dyDescent="0.2">
      <c r="L39" s="32"/>
      <c r="M39" s="32"/>
      <c r="N39" s="32"/>
      <c r="T39" s="32"/>
      <c r="U39" s="32"/>
      <c r="V39" s="1360"/>
      <c r="W39" s="1360"/>
      <c r="X39" s="1360"/>
      <c r="Y39" s="1360"/>
      <c r="Z39" s="1360"/>
      <c r="AA39" s="1360"/>
      <c r="AB39" s="1360"/>
      <c r="AC39" s="1360"/>
      <c r="AD39" s="1360"/>
      <c r="AE39" s="1360"/>
    </row>
    <row r="40" spans="12:31" ht="12.75" hidden="1" customHeight="1" x14ac:dyDescent="0.2">
      <c r="L40" s="32"/>
      <c r="M40" s="32"/>
      <c r="N40" s="32"/>
      <c r="T40" s="32"/>
      <c r="U40" s="32"/>
      <c r="V40" s="1360"/>
      <c r="W40" s="1360"/>
      <c r="X40" s="1360"/>
      <c r="Y40" s="1360"/>
      <c r="Z40" s="1360"/>
      <c r="AA40" s="1360"/>
      <c r="AB40" s="1360"/>
      <c r="AC40" s="1360"/>
      <c r="AD40" s="1360"/>
      <c r="AE40" s="1360"/>
    </row>
    <row r="41" spans="12:31" ht="12.75" hidden="1" customHeight="1" x14ac:dyDescent="0.2">
      <c r="L41" s="32"/>
      <c r="M41" s="32"/>
      <c r="N41" s="32"/>
      <c r="T41" s="32"/>
      <c r="U41" s="32"/>
      <c r="V41" s="1360"/>
      <c r="W41" s="1360"/>
      <c r="X41" s="1360"/>
      <c r="Y41" s="1360"/>
      <c r="Z41" s="1360"/>
      <c r="AA41" s="1360"/>
      <c r="AB41" s="1360"/>
      <c r="AC41" s="1360"/>
      <c r="AD41" s="1360"/>
      <c r="AE41" s="1360"/>
    </row>
    <row r="42" spans="12:31" ht="12.75" hidden="1" customHeight="1" x14ac:dyDescent="0.2">
      <c r="L42" s="32"/>
      <c r="M42" s="32"/>
      <c r="N42" s="32"/>
      <c r="T42" s="32"/>
      <c r="U42" s="32"/>
      <c r="V42" s="1360"/>
      <c r="W42" s="1360"/>
      <c r="X42" s="1360"/>
      <c r="Y42" s="1360"/>
      <c r="Z42" s="1360"/>
      <c r="AA42" s="1360"/>
      <c r="AB42" s="1360"/>
      <c r="AC42" s="1360"/>
      <c r="AD42" s="1360"/>
      <c r="AE42" s="1360"/>
    </row>
    <row r="43" spans="12:31" ht="12.75" hidden="1" customHeight="1" x14ac:dyDescent="0.2">
      <c r="L43" s="32"/>
      <c r="M43" s="32"/>
      <c r="N43" s="32"/>
      <c r="T43" s="32"/>
      <c r="U43" s="32"/>
      <c r="V43" s="1360"/>
      <c r="W43" s="1360"/>
      <c r="X43" s="1360"/>
      <c r="Y43" s="1360"/>
      <c r="Z43" s="1360"/>
      <c r="AA43" s="1360"/>
      <c r="AB43" s="1360"/>
      <c r="AC43" s="1360"/>
      <c r="AD43" s="1360"/>
      <c r="AE43" s="1360"/>
    </row>
    <row r="44" spans="12:31" ht="12.75" hidden="1" customHeight="1" x14ac:dyDescent="0.2">
      <c r="L44" s="32"/>
      <c r="M44" s="32"/>
      <c r="N44" s="32"/>
      <c r="T44" s="32"/>
      <c r="U44" s="32"/>
      <c r="V44" s="1360"/>
      <c r="W44" s="1360"/>
      <c r="X44" s="1360"/>
      <c r="Y44" s="1360"/>
      <c r="Z44" s="1360"/>
      <c r="AA44" s="1360"/>
      <c r="AB44" s="1360"/>
      <c r="AC44" s="1360"/>
      <c r="AD44" s="1360"/>
      <c r="AE44" s="1360"/>
    </row>
    <row r="45" spans="12:31" ht="12.75" hidden="1" customHeight="1" x14ac:dyDescent="0.2">
      <c r="L45" s="32"/>
      <c r="M45" s="32"/>
      <c r="N45" s="32"/>
      <c r="T45" s="32"/>
      <c r="U45" s="32"/>
      <c r="V45" s="1360"/>
      <c r="W45" s="1360"/>
      <c r="X45" s="1360"/>
      <c r="Y45" s="1360"/>
      <c r="Z45" s="1360"/>
      <c r="AA45" s="1360"/>
      <c r="AB45" s="1360"/>
      <c r="AC45" s="1360"/>
      <c r="AD45" s="1360"/>
      <c r="AE45" s="1360"/>
    </row>
    <row r="46" spans="12:31" ht="12.75" hidden="1" customHeight="1" x14ac:dyDescent="0.2">
      <c r="L46" s="32"/>
      <c r="M46" s="32"/>
      <c r="N46" s="32"/>
      <c r="T46" s="32"/>
      <c r="U46" s="32"/>
      <c r="V46" s="1360"/>
      <c r="W46" s="1360"/>
      <c r="X46" s="1360"/>
      <c r="Y46" s="1360"/>
      <c r="Z46" s="1360"/>
      <c r="AA46" s="1360"/>
      <c r="AB46" s="1360"/>
      <c r="AC46" s="1360"/>
      <c r="AD46" s="1360"/>
      <c r="AE46" s="1360"/>
    </row>
    <row r="47" spans="12:31" ht="12.75" hidden="1" customHeight="1" x14ac:dyDescent="0.2">
      <c r="L47" s="32"/>
      <c r="M47" s="32"/>
      <c r="N47" s="32"/>
      <c r="T47" s="32"/>
      <c r="U47" s="32"/>
      <c r="V47" s="1360"/>
      <c r="W47" s="1360"/>
      <c r="X47" s="1360"/>
      <c r="Y47" s="1360"/>
      <c r="Z47" s="1360"/>
      <c r="AA47" s="1360"/>
      <c r="AB47" s="1360"/>
      <c r="AC47" s="1360"/>
      <c r="AD47" s="1360"/>
      <c r="AE47" s="1360"/>
    </row>
    <row r="48" spans="12:31" ht="12.75" hidden="1" customHeight="1" x14ac:dyDescent="0.2">
      <c r="L48" s="32"/>
      <c r="M48" s="32"/>
      <c r="N48" s="32"/>
      <c r="T48" s="32"/>
      <c r="U48" s="32"/>
      <c r="V48" s="1360"/>
      <c r="W48" s="1360"/>
      <c r="X48" s="1360"/>
      <c r="Y48" s="1360"/>
      <c r="Z48" s="1360"/>
      <c r="AA48" s="1360"/>
      <c r="AB48" s="1360"/>
      <c r="AC48" s="1360"/>
      <c r="AD48" s="1360"/>
      <c r="AE48" s="1360"/>
    </row>
    <row r="49" spans="12:31" ht="12.75" hidden="1" customHeight="1" x14ac:dyDescent="0.2">
      <c r="L49" s="32"/>
      <c r="M49" s="32"/>
      <c r="N49" s="32"/>
      <c r="T49" s="32"/>
      <c r="U49" s="32"/>
      <c r="V49" s="1360"/>
      <c r="W49" s="1360"/>
      <c r="X49" s="1360"/>
      <c r="Y49" s="1360"/>
      <c r="Z49" s="1360"/>
      <c r="AA49" s="1360"/>
      <c r="AB49" s="1360"/>
      <c r="AC49" s="1360"/>
      <c r="AD49" s="1360"/>
      <c r="AE49" s="1360"/>
    </row>
    <row r="50" spans="12:31" ht="12.75" hidden="1" customHeight="1" x14ac:dyDescent="0.2">
      <c r="L50" s="32"/>
      <c r="M50" s="32"/>
      <c r="N50" s="32"/>
      <c r="T50" s="32"/>
      <c r="U50" s="32"/>
      <c r="V50" s="1360"/>
      <c r="W50" s="1360"/>
      <c r="X50" s="1360"/>
      <c r="Y50" s="1360"/>
      <c r="Z50" s="1360"/>
      <c r="AA50" s="1360"/>
      <c r="AB50" s="1360"/>
      <c r="AC50" s="1360"/>
      <c r="AD50" s="1360"/>
      <c r="AE50" s="1360"/>
    </row>
    <row r="51" spans="12:31" ht="12.75" hidden="1" customHeight="1" x14ac:dyDescent="0.2">
      <c r="L51" s="32"/>
      <c r="M51" s="32"/>
      <c r="N51" s="32"/>
      <c r="T51" s="32"/>
      <c r="U51" s="32"/>
      <c r="V51" s="1360"/>
      <c r="W51" s="1360"/>
      <c r="X51" s="1360"/>
      <c r="Y51" s="1360"/>
      <c r="Z51" s="1360"/>
      <c r="AA51" s="1360"/>
      <c r="AB51" s="1360"/>
      <c r="AC51" s="1360"/>
      <c r="AD51" s="1360"/>
      <c r="AE51" s="1360"/>
    </row>
    <row r="52" spans="12:31" ht="12.75" hidden="1" customHeight="1" x14ac:dyDescent="0.2">
      <c r="L52" s="32"/>
      <c r="M52" s="32"/>
      <c r="N52" s="32"/>
      <c r="T52" s="32"/>
      <c r="U52" s="32"/>
      <c r="V52" s="1360"/>
      <c r="W52" s="1360"/>
      <c r="X52" s="1360"/>
      <c r="Y52" s="1360"/>
      <c r="Z52" s="1360"/>
      <c r="AA52" s="1360"/>
      <c r="AB52" s="1360"/>
      <c r="AC52" s="1360"/>
      <c r="AD52" s="1360"/>
      <c r="AE52" s="1360"/>
    </row>
    <row r="53" spans="12:31" ht="12.75" hidden="1" customHeight="1" x14ac:dyDescent="0.2">
      <c r="L53" s="32"/>
      <c r="M53" s="32"/>
      <c r="N53" s="32"/>
      <c r="T53" s="32"/>
      <c r="U53" s="32"/>
      <c r="V53" s="1360"/>
      <c r="W53" s="1360"/>
      <c r="X53" s="1360"/>
      <c r="Y53" s="1360"/>
      <c r="Z53" s="1360"/>
      <c r="AA53" s="1360"/>
      <c r="AB53" s="1360"/>
      <c r="AC53" s="1360"/>
      <c r="AD53" s="1360"/>
      <c r="AE53" s="1360"/>
    </row>
    <row r="54" spans="12:31" ht="12.75" hidden="1" customHeight="1" x14ac:dyDescent="0.2">
      <c r="L54" s="32"/>
      <c r="M54" s="32"/>
      <c r="N54" s="32"/>
      <c r="T54" s="32"/>
      <c r="U54" s="32"/>
      <c r="V54" s="1360"/>
      <c r="W54" s="1360"/>
      <c r="X54" s="1360"/>
      <c r="Y54" s="1360"/>
      <c r="Z54" s="1360"/>
      <c r="AA54" s="1360"/>
      <c r="AB54" s="1360"/>
      <c r="AC54" s="1360"/>
      <c r="AD54" s="1360"/>
      <c r="AE54" s="1360"/>
    </row>
    <row r="55" spans="12:31" ht="12.75" hidden="1" customHeight="1" x14ac:dyDescent="0.2">
      <c r="L55" s="32"/>
      <c r="M55" s="32"/>
      <c r="N55" s="32"/>
      <c r="T55" s="32"/>
      <c r="U55" s="32"/>
      <c r="V55" s="1360"/>
      <c r="W55" s="1360"/>
      <c r="X55" s="1360"/>
      <c r="Y55" s="1360"/>
      <c r="Z55" s="1360"/>
      <c r="AA55" s="1360"/>
      <c r="AB55" s="1360"/>
      <c r="AC55" s="1360"/>
      <c r="AD55" s="1360"/>
      <c r="AE55" s="1360"/>
    </row>
    <row r="56" spans="12:31" ht="12.75" hidden="1" customHeight="1" x14ac:dyDescent="0.2">
      <c r="L56" s="32"/>
      <c r="M56" s="32"/>
      <c r="N56" s="32"/>
      <c r="T56" s="32"/>
      <c r="U56" s="32"/>
      <c r="V56" s="1360"/>
      <c r="W56" s="1360"/>
      <c r="X56" s="1360"/>
      <c r="Y56" s="1360"/>
      <c r="Z56" s="1360"/>
      <c r="AA56" s="1360"/>
      <c r="AB56" s="1360"/>
      <c r="AC56" s="1360"/>
      <c r="AD56" s="1360"/>
      <c r="AE56" s="1360"/>
    </row>
    <row r="57" spans="12:31" ht="12.75" hidden="1" customHeight="1" x14ac:dyDescent="0.2">
      <c r="L57" s="32"/>
      <c r="M57" s="32"/>
      <c r="N57" s="32"/>
      <c r="T57" s="32"/>
      <c r="U57" s="32"/>
      <c r="V57" s="1360"/>
      <c r="W57" s="1360"/>
      <c r="X57" s="1360"/>
      <c r="Y57" s="1360"/>
      <c r="Z57" s="1360"/>
      <c r="AA57" s="1360"/>
      <c r="AB57" s="1360"/>
      <c r="AC57" s="1360"/>
      <c r="AD57" s="1360"/>
      <c r="AE57" s="1360"/>
    </row>
    <row r="58" spans="12:31" ht="12.75" hidden="1" customHeight="1" x14ac:dyDescent="0.2">
      <c r="L58" s="32"/>
      <c r="M58" s="32"/>
      <c r="N58" s="32"/>
      <c r="T58" s="32"/>
      <c r="U58" s="32"/>
      <c r="V58" s="1360"/>
      <c r="W58" s="1360"/>
      <c r="X58" s="1360"/>
      <c r="Y58" s="1360"/>
      <c r="Z58" s="1360"/>
      <c r="AA58" s="1360"/>
      <c r="AB58" s="1360"/>
      <c r="AC58" s="1360"/>
      <c r="AD58" s="1360"/>
      <c r="AE58" s="1360"/>
    </row>
    <row r="59" spans="12:31" ht="12.75" hidden="1" customHeight="1" x14ac:dyDescent="0.2">
      <c r="L59" s="32"/>
      <c r="M59" s="32"/>
      <c r="N59" s="32"/>
      <c r="T59" s="32"/>
      <c r="U59" s="32"/>
      <c r="V59" s="1360"/>
      <c r="W59" s="1360"/>
      <c r="X59" s="1360"/>
      <c r="Y59" s="1360"/>
      <c r="Z59" s="1360"/>
      <c r="AA59" s="1360"/>
      <c r="AB59" s="1360"/>
      <c r="AC59" s="1360"/>
      <c r="AD59" s="1360"/>
      <c r="AE59" s="1360"/>
    </row>
    <row r="60" spans="12:31" ht="12.75" hidden="1" customHeight="1" x14ac:dyDescent="0.2">
      <c r="L60" s="32"/>
      <c r="M60" s="32"/>
      <c r="N60" s="32"/>
      <c r="T60" s="32"/>
      <c r="U60" s="32"/>
      <c r="V60" s="1360"/>
      <c r="W60" s="1360"/>
      <c r="X60" s="1360"/>
      <c r="Y60" s="1360"/>
      <c r="Z60" s="1360"/>
      <c r="AA60" s="1360"/>
      <c r="AB60" s="1360"/>
      <c r="AC60" s="1360"/>
      <c r="AD60" s="1360"/>
      <c r="AE60" s="1360"/>
    </row>
    <row r="61" spans="12:31" ht="12.75" hidden="1" customHeight="1" x14ac:dyDescent="0.2">
      <c r="L61" s="32"/>
      <c r="M61" s="32"/>
      <c r="N61" s="32"/>
      <c r="T61" s="32"/>
      <c r="U61" s="32"/>
      <c r="V61" s="1360"/>
      <c r="W61" s="1360"/>
      <c r="X61" s="1360"/>
      <c r="Y61" s="1360"/>
      <c r="Z61" s="1360"/>
      <c r="AA61" s="1360"/>
      <c r="AB61" s="1360"/>
      <c r="AC61" s="1360"/>
      <c r="AD61" s="1360"/>
      <c r="AE61" s="1360"/>
    </row>
    <row r="62" spans="12:31" ht="12.75" hidden="1" customHeight="1" x14ac:dyDescent="0.2">
      <c r="L62" s="32"/>
      <c r="M62" s="32"/>
      <c r="N62" s="32"/>
      <c r="T62" s="32"/>
      <c r="U62" s="32"/>
      <c r="V62" s="1360"/>
      <c r="W62" s="1360"/>
      <c r="X62" s="1360"/>
      <c r="Y62" s="1360"/>
      <c r="Z62" s="1360"/>
      <c r="AA62" s="1360"/>
      <c r="AB62" s="1360"/>
      <c r="AC62" s="1360"/>
      <c r="AD62" s="1360"/>
      <c r="AE62" s="1360"/>
    </row>
    <row r="63" spans="12:31" ht="12.75" hidden="1" customHeight="1" x14ac:dyDescent="0.2">
      <c r="L63" s="32"/>
      <c r="M63" s="32"/>
      <c r="N63" s="32"/>
      <c r="T63" s="32"/>
      <c r="U63" s="32"/>
      <c r="V63" s="1360"/>
      <c r="W63" s="1360"/>
      <c r="X63" s="1360"/>
      <c r="Y63" s="1360"/>
      <c r="Z63" s="1360"/>
      <c r="AA63" s="1360"/>
      <c r="AB63" s="1360"/>
      <c r="AC63" s="1360"/>
      <c r="AD63" s="1360"/>
      <c r="AE63" s="1360"/>
    </row>
    <row r="64" spans="12:31" ht="12.75" hidden="1" customHeight="1" x14ac:dyDescent="0.2">
      <c r="L64" s="32"/>
      <c r="M64" s="32"/>
      <c r="N64" s="32"/>
      <c r="T64" s="32"/>
      <c r="U64" s="32"/>
      <c r="V64" s="1360"/>
      <c r="W64" s="1360"/>
      <c r="X64" s="1360"/>
      <c r="Y64" s="1360"/>
      <c r="Z64" s="1360"/>
      <c r="AA64" s="1360"/>
      <c r="AB64" s="1360"/>
      <c r="AC64" s="1360"/>
      <c r="AD64" s="1360"/>
      <c r="AE64" s="1360"/>
    </row>
    <row r="65" spans="12:31" ht="12.75" hidden="1" customHeight="1" x14ac:dyDescent="0.2">
      <c r="L65" s="32"/>
      <c r="M65" s="32"/>
      <c r="N65" s="32"/>
      <c r="T65" s="32"/>
      <c r="U65" s="32"/>
      <c r="V65" s="1360"/>
      <c r="W65" s="1360"/>
      <c r="X65" s="1360"/>
      <c r="Y65" s="1360"/>
      <c r="Z65" s="1360"/>
      <c r="AA65" s="1360"/>
      <c r="AB65" s="1360"/>
      <c r="AC65" s="1360"/>
      <c r="AD65" s="1360"/>
      <c r="AE65" s="1360"/>
    </row>
    <row r="66" spans="12:31" ht="12.75" hidden="1" customHeight="1" x14ac:dyDescent="0.2">
      <c r="L66" s="32"/>
      <c r="M66" s="32"/>
      <c r="N66" s="32"/>
      <c r="T66" s="32"/>
      <c r="U66" s="32"/>
      <c r="V66" s="1360"/>
      <c r="W66" s="1360"/>
      <c r="X66" s="1360"/>
      <c r="Y66" s="1360"/>
      <c r="Z66" s="1360"/>
      <c r="AA66" s="1360"/>
      <c r="AB66" s="1360"/>
      <c r="AC66" s="1360"/>
      <c r="AD66" s="1360"/>
      <c r="AE66" s="1360"/>
    </row>
    <row r="67" spans="12:31" ht="12.75" hidden="1" customHeight="1" x14ac:dyDescent="0.2">
      <c r="L67" s="32"/>
      <c r="M67" s="32"/>
      <c r="N67" s="32"/>
      <c r="T67" s="32"/>
      <c r="U67" s="32"/>
      <c r="V67" s="1360"/>
      <c r="W67" s="1360"/>
      <c r="X67" s="1360"/>
      <c r="Y67" s="1360"/>
      <c r="Z67" s="1360"/>
      <c r="AA67" s="1360"/>
      <c r="AB67" s="1360"/>
      <c r="AC67" s="1360"/>
      <c r="AD67" s="1360"/>
      <c r="AE67" s="1360"/>
    </row>
    <row r="68" spans="12:31" ht="12.75" hidden="1" customHeight="1" x14ac:dyDescent="0.2">
      <c r="L68" s="32"/>
      <c r="M68" s="32"/>
      <c r="N68" s="32"/>
      <c r="T68" s="32"/>
      <c r="U68" s="32"/>
      <c r="V68" s="1360"/>
      <c r="W68" s="1360"/>
      <c r="X68" s="1360"/>
      <c r="Y68" s="1360"/>
      <c r="Z68" s="1360"/>
      <c r="AA68" s="1360"/>
      <c r="AB68" s="1360"/>
      <c r="AC68" s="1360"/>
      <c r="AD68" s="1360"/>
      <c r="AE68" s="1360"/>
    </row>
    <row r="69" spans="12:31" ht="12.75" hidden="1" customHeight="1" x14ac:dyDescent="0.2">
      <c r="L69" s="32"/>
      <c r="M69" s="32"/>
      <c r="N69" s="32"/>
      <c r="T69" s="32"/>
      <c r="U69" s="32"/>
      <c r="V69" s="1360"/>
      <c r="W69" s="1360"/>
      <c r="X69" s="1360"/>
      <c r="Y69" s="1360"/>
      <c r="Z69" s="1360"/>
      <c r="AA69" s="1360"/>
      <c r="AB69" s="1360"/>
      <c r="AC69" s="1360"/>
      <c r="AD69" s="1360"/>
      <c r="AE69" s="1360"/>
    </row>
    <row r="70" spans="12:31" ht="12.75" hidden="1" customHeight="1" x14ac:dyDescent="0.2">
      <c r="L70" s="32"/>
      <c r="M70" s="32"/>
      <c r="N70" s="32"/>
      <c r="T70" s="32"/>
      <c r="U70" s="32"/>
      <c r="V70" s="1360"/>
      <c r="W70" s="1360"/>
      <c r="X70" s="1360"/>
      <c r="Y70" s="1360"/>
      <c r="Z70" s="1360"/>
      <c r="AA70" s="1360"/>
      <c r="AB70" s="1360"/>
      <c r="AC70" s="1360"/>
      <c r="AD70" s="1360"/>
      <c r="AE70" s="1360"/>
    </row>
    <row r="71" spans="12:31" ht="12.75" hidden="1" customHeight="1" x14ac:dyDescent="0.2">
      <c r="L71" s="32"/>
      <c r="M71" s="32"/>
      <c r="N71" s="32"/>
      <c r="T71" s="32"/>
      <c r="U71" s="32"/>
      <c r="V71" s="1360"/>
      <c r="W71" s="1360"/>
      <c r="X71" s="1360"/>
      <c r="Y71" s="1360"/>
      <c r="Z71" s="1360"/>
      <c r="AA71" s="1360"/>
      <c r="AB71" s="1360"/>
      <c r="AC71" s="1360"/>
      <c r="AD71" s="1360"/>
      <c r="AE71" s="1360"/>
    </row>
    <row r="72" spans="12:31" ht="12.75" hidden="1" customHeight="1" x14ac:dyDescent="0.2">
      <c r="L72" s="32"/>
      <c r="M72" s="32"/>
      <c r="N72" s="32"/>
      <c r="T72" s="32"/>
      <c r="U72" s="32"/>
      <c r="V72" s="1360"/>
      <c r="W72" s="1360"/>
      <c r="X72" s="1360"/>
      <c r="Y72" s="1360"/>
      <c r="Z72" s="1360"/>
      <c r="AA72" s="1360"/>
      <c r="AB72" s="1360"/>
      <c r="AC72" s="1360"/>
      <c r="AD72" s="1360"/>
      <c r="AE72" s="1360"/>
    </row>
    <row r="73" spans="12:31" ht="12.75" hidden="1" customHeight="1" x14ac:dyDescent="0.2">
      <c r="L73" s="32"/>
      <c r="M73" s="32"/>
      <c r="N73" s="32"/>
      <c r="T73" s="32"/>
      <c r="U73" s="32"/>
      <c r="V73" s="1360"/>
      <c r="W73" s="1360"/>
      <c r="X73" s="1360"/>
      <c r="Y73" s="1360"/>
      <c r="Z73" s="1360"/>
      <c r="AA73" s="1360"/>
      <c r="AB73" s="1360"/>
      <c r="AC73" s="1360"/>
      <c r="AD73" s="1360"/>
      <c r="AE73" s="1360"/>
    </row>
    <row r="74" spans="12:31" ht="12.75" hidden="1" customHeight="1" x14ac:dyDescent="0.2">
      <c r="L74" s="32"/>
      <c r="M74" s="32"/>
      <c r="N74" s="32"/>
      <c r="T74" s="32"/>
      <c r="U74" s="32"/>
      <c r="V74" s="1360"/>
      <c r="W74" s="1360"/>
      <c r="X74" s="1360"/>
      <c r="Y74" s="1360"/>
      <c r="Z74" s="1360"/>
      <c r="AA74" s="1360"/>
      <c r="AB74" s="1360"/>
      <c r="AC74" s="1360"/>
      <c r="AD74" s="1360"/>
      <c r="AE74" s="1360"/>
    </row>
    <row r="75" spans="12:31" ht="12.75" hidden="1" customHeight="1" x14ac:dyDescent="0.2">
      <c r="L75" s="32"/>
      <c r="M75" s="32"/>
      <c r="N75" s="32"/>
      <c r="T75" s="32"/>
      <c r="U75" s="32"/>
      <c r="V75" s="1360"/>
      <c r="W75" s="1360"/>
      <c r="X75" s="1360"/>
      <c r="Y75" s="1360"/>
      <c r="Z75" s="1360"/>
      <c r="AA75" s="1360"/>
      <c r="AB75" s="1360"/>
      <c r="AC75" s="1360"/>
      <c r="AD75" s="1360"/>
      <c r="AE75" s="1360"/>
    </row>
    <row r="76" spans="12:31" ht="12.75" hidden="1" customHeight="1" x14ac:dyDescent="0.2">
      <c r="L76" s="32"/>
      <c r="M76" s="32"/>
      <c r="N76" s="32"/>
      <c r="T76" s="32"/>
      <c r="U76" s="32"/>
      <c r="V76" s="1360"/>
      <c r="W76" s="1360"/>
      <c r="X76" s="1360"/>
      <c r="Y76" s="1360"/>
      <c r="Z76" s="1360"/>
      <c r="AA76" s="1360"/>
      <c r="AB76" s="1360"/>
      <c r="AC76" s="1360"/>
      <c r="AD76" s="1360"/>
      <c r="AE76" s="1360"/>
    </row>
    <row r="77" spans="12:31" ht="12.75" hidden="1" customHeight="1" x14ac:dyDescent="0.2">
      <c r="L77" s="32"/>
      <c r="M77" s="32"/>
      <c r="N77" s="32"/>
      <c r="T77" s="32"/>
      <c r="U77" s="32"/>
      <c r="V77" s="1360"/>
      <c r="W77" s="1360"/>
      <c r="X77" s="1360"/>
      <c r="Y77" s="1360"/>
      <c r="Z77" s="1360"/>
      <c r="AA77" s="1360"/>
      <c r="AB77" s="1360"/>
      <c r="AC77" s="1360"/>
      <c r="AD77" s="1360"/>
      <c r="AE77" s="1360"/>
    </row>
    <row r="78" spans="12:31" ht="12.75" hidden="1" customHeight="1" x14ac:dyDescent="0.2">
      <c r="L78" s="32"/>
      <c r="M78" s="32"/>
      <c r="N78" s="32"/>
      <c r="T78" s="32"/>
      <c r="U78" s="32"/>
      <c r="V78" s="1360"/>
      <c r="W78" s="1360"/>
      <c r="X78" s="1360"/>
      <c r="Y78" s="1360"/>
      <c r="Z78" s="1360"/>
      <c r="AA78" s="1360"/>
      <c r="AB78" s="1360"/>
      <c r="AC78" s="1360"/>
      <c r="AD78" s="1360"/>
      <c r="AE78" s="1360"/>
    </row>
    <row r="79" spans="12:31" ht="12.75" hidden="1" customHeight="1" x14ac:dyDescent="0.2">
      <c r="L79" s="32"/>
      <c r="M79" s="32"/>
      <c r="N79" s="32"/>
      <c r="T79" s="32"/>
      <c r="U79" s="32"/>
      <c r="V79" s="1360"/>
      <c r="W79" s="1360"/>
      <c r="X79" s="1360"/>
      <c r="Y79" s="1360"/>
      <c r="Z79" s="1360"/>
      <c r="AA79" s="1360"/>
      <c r="AB79" s="1360"/>
      <c r="AC79" s="1360"/>
      <c r="AD79" s="1360"/>
      <c r="AE79" s="1360"/>
    </row>
    <row r="80" spans="12:31" ht="12.75" hidden="1" customHeight="1" x14ac:dyDescent="0.2">
      <c r="L80" s="32"/>
      <c r="M80" s="32"/>
      <c r="N80" s="32"/>
      <c r="T80" s="32"/>
      <c r="U80" s="32"/>
      <c r="V80" s="1360"/>
      <c r="W80" s="1360"/>
      <c r="X80" s="1360"/>
      <c r="Y80" s="1360"/>
      <c r="Z80" s="1360"/>
      <c r="AA80" s="1360"/>
      <c r="AB80" s="1360"/>
      <c r="AC80" s="1360"/>
      <c r="AD80" s="1360"/>
      <c r="AE80" s="1360"/>
    </row>
    <row r="81" spans="12:31" ht="12.75" hidden="1" customHeight="1" x14ac:dyDescent="0.2">
      <c r="L81" s="32"/>
      <c r="M81" s="32"/>
      <c r="N81" s="32"/>
      <c r="T81" s="32"/>
      <c r="U81" s="32"/>
      <c r="V81" s="1360"/>
      <c r="W81" s="1360"/>
      <c r="X81" s="1360"/>
      <c r="Y81" s="1360"/>
      <c r="Z81" s="1360"/>
      <c r="AA81" s="1360"/>
      <c r="AB81" s="1360"/>
      <c r="AC81" s="1360"/>
      <c r="AD81" s="1360"/>
      <c r="AE81" s="1360"/>
    </row>
    <row r="82" spans="12:31" ht="12.75" hidden="1" customHeight="1" x14ac:dyDescent="0.2">
      <c r="L82" s="32"/>
      <c r="M82" s="32"/>
      <c r="N82" s="32"/>
      <c r="T82" s="32"/>
      <c r="U82" s="32"/>
      <c r="V82" s="1360"/>
      <c r="W82" s="1360"/>
      <c r="X82" s="1360"/>
      <c r="Y82" s="1360"/>
      <c r="Z82" s="1360"/>
      <c r="AA82" s="1360"/>
      <c r="AB82" s="1360"/>
      <c r="AC82" s="1360"/>
      <c r="AD82" s="1360"/>
      <c r="AE82" s="1360"/>
    </row>
    <row r="83" spans="12:31" ht="12.75" hidden="1" customHeight="1" x14ac:dyDescent="0.2">
      <c r="L83" s="32"/>
      <c r="M83" s="32"/>
      <c r="N83" s="32"/>
      <c r="T83" s="32"/>
      <c r="U83" s="32"/>
      <c r="V83" s="1360"/>
      <c r="W83" s="1360"/>
      <c r="X83" s="1360"/>
      <c r="Y83" s="1360"/>
      <c r="Z83" s="1360"/>
      <c r="AA83" s="1360"/>
      <c r="AB83" s="1360"/>
      <c r="AC83" s="1360"/>
      <c r="AD83" s="1360"/>
      <c r="AE83" s="1360"/>
    </row>
    <row r="84" spans="12:31" ht="12.75" hidden="1" customHeight="1" x14ac:dyDescent="0.2">
      <c r="L84" s="32"/>
      <c r="M84" s="32"/>
      <c r="N84" s="32"/>
      <c r="T84" s="32"/>
      <c r="U84" s="32"/>
      <c r="V84" s="1360"/>
      <c r="W84" s="1360"/>
      <c r="X84" s="1360"/>
      <c r="Y84" s="1360"/>
      <c r="Z84" s="1360"/>
      <c r="AA84" s="1360"/>
      <c r="AB84" s="1360"/>
      <c r="AC84" s="1360"/>
      <c r="AD84" s="1360"/>
      <c r="AE84" s="1360"/>
    </row>
    <row r="85" spans="12:31" ht="12.75" hidden="1" customHeight="1" x14ac:dyDescent="0.2">
      <c r="L85" s="32"/>
      <c r="M85" s="32"/>
      <c r="N85" s="32"/>
      <c r="T85" s="32"/>
      <c r="U85" s="32"/>
      <c r="V85" s="1360"/>
      <c r="W85" s="1360"/>
      <c r="X85" s="1360"/>
      <c r="Y85" s="1360"/>
      <c r="Z85" s="1360"/>
      <c r="AA85" s="1360"/>
      <c r="AB85" s="1360"/>
      <c r="AC85" s="1360"/>
      <c r="AD85" s="1360"/>
      <c r="AE85" s="1360"/>
    </row>
    <row r="86" spans="12:31" ht="12.75" hidden="1" customHeight="1" x14ac:dyDescent="0.2">
      <c r="L86" s="32"/>
      <c r="M86" s="32"/>
      <c r="N86" s="32"/>
      <c r="T86" s="32"/>
      <c r="U86" s="32"/>
      <c r="V86" s="1360"/>
      <c r="W86" s="1360"/>
      <c r="X86" s="1360"/>
      <c r="Y86" s="1360"/>
      <c r="Z86" s="1360"/>
      <c r="AA86" s="1360"/>
      <c r="AB86" s="1360"/>
      <c r="AC86" s="1360"/>
      <c r="AD86" s="1360"/>
      <c r="AE86" s="1360"/>
    </row>
    <row r="87" spans="12:31" ht="12.75" hidden="1" customHeight="1" x14ac:dyDescent="0.2">
      <c r="L87" s="32"/>
      <c r="M87" s="32"/>
      <c r="N87" s="32"/>
      <c r="T87" s="32"/>
      <c r="U87" s="32"/>
      <c r="V87" s="1360"/>
      <c r="W87" s="1360"/>
      <c r="X87" s="1360"/>
      <c r="Y87" s="1360"/>
      <c r="Z87" s="1360"/>
      <c r="AA87" s="1360"/>
      <c r="AB87" s="1360"/>
      <c r="AC87" s="1360"/>
      <c r="AD87" s="1360"/>
      <c r="AE87" s="1360"/>
    </row>
    <row r="88" spans="12:31" ht="12.75" hidden="1" customHeight="1" x14ac:dyDescent="0.2">
      <c r="L88" s="32"/>
      <c r="M88" s="32"/>
      <c r="N88" s="32"/>
      <c r="T88" s="32"/>
      <c r="U88" s="32"/>
      <c r="V88" s="1360"/>
      <c r="W88" s="1360"/>
      <c r="X88" s="1360"/>
      <c r="Y88" s="1360"/>
      <c r="Z88" s="1360"/>
      <c r="AA88" s="1360"/>
      <c r="AB88" s="1360"/>
      <c r="AC88" s="1360"/>
      <c r="AD88" s="1360"/>
      <c r="AE88" s="1360"/>
    </row>
    <row r="89" spans="12:31" ht="12.75" hidden="1" customHeight="1" x14ac:dyDescent="0.2">
      <c r="L89" s="32"/>
      <c r="M89" s="32"/>
      <c r="N89" s="32"/>
      <c r="T89" s="32"/>
      <c r="U89" s="32"/>
      <c r="V89" s="1360"/>
      <c r="W89" s="1360"/>
      <c r="X89" s="1360"/>
      <c r="Y89" s="1360"/>
      <c r="Z89" s="1360"/>
      <c r="AA89" s="1360"/>
      <c r="AB89" s="1360"/>
      <c r="AC89" s="1360"/>
      <c r="AD89" s="1360"/>
      <c r="AE89" s="1360"/>
    </row>
    <row r="90" spans="12:31" ht="12.75" hidden="1" customHeight="1" x14ac:dyDescent="0.2">
      <c r="L90" s="32"/>
      <c r="M90" s="32"/>
      <c r="N90" s="32"/>
      <c r="T90" s="32"/>
      <c r="U90" s="32"/>
      <c r="V90" s="1360"/>
      <c r="W90" s="1360"/>
      <c r="X90" s="1360"/>
      <c r="Y90" s="1360"/>
      <c r="Z90" s="1360"/>
      <c r="AA90" s="1360"/>
      <c r="AB90" s="1360"/>
      <c r="AC90" s="1360"/>
      <c r="AD90" s="1360"/>
      <c r="AE90" s="1360"/>
    </row>
    <row r="91" spans="12:31" ht="12.75" hidden="1" customHeight="1" x14ac:dyDescent="0.2">
      <c r="L91" s="32"/>
      <c r="M91" s="32"/>
      <c r="N91" s="32"/>
      <c r="T91" s="32"/>
      <c r="U91" s="32"/>
      <c r="V91" s="1360"/>
      <c r="W91" s="1360"/>
      <c r="X91" s="1360"/>
      <c r="Y91" s="1360"/>
      <c r="Z91" s="1360"/>
      <c r="AA91" s="1360"/>
      <c r="AB91" s="1360"/>
      <c r="AC91" s="1360"/>
      <c r="AD91" s="1360"/>
      <c r="AE91" s="1360"/>
    </row>
    <row r="92" spans="12:31" ht="12.75" hidden="1" customHeight="1" x14ac:dyDescent="0.2">
      <c r="L92" s="32"/>
      <c r="M92" s="32"/>
      <c r="N92" s="32"/>
      <c r="T92" s="32"/>
      <c r="U92" s="32"/>
      <c r="V92" s="1360"/>
      <c r="W92" s="1360"/>
      <c r="X92" s="1360"/>
      <c r="Y92" s="1360"/>
      <c r="Z92" s="1360"/>
      <c r="AA92" s="1360"/>
      <c r="AB92" s="1360"/>
      <c r="AC92" s="1360"/>
      <c r="AD92" s="1360"/>
      <c r="AE92" s="1360"/>
    </row>
    <row r="93" spans="12:31" ht="12.75" hidden="1" customHeight="1" x14ac:dyDescent="0.2">
      <c r="L93" s="32"/>
      <c r="M93" s="32"/>
      <c r="N93" s="32"/>
      <c r="T93" s="32"/>
      <c r="U93" s="32"/>
      <c r="V93" s="1360"/>
      <c r="W93" s="1360"/>
      <c r="X93" s="1360"/>
      <c r="Y93" s="1360"/>
      <c r="Z93" s="1360"/>
      <c r="AA93" s="1360"/>
      <c r="AB93" s="1360"/>
      <c r="AC93" s="1360"/>
      <c r="AD93" s="1360"/>
      <c r="AE93" s="1360"/>
    </row>
    <row r="94" spans="12:31" ht="12.75" hidden="1" customHeight="1" x14ac:dyDescent="0.2">
      <c r="L94" s="32"/>
      <c r="M94" s="32"/>
      <c r="N94" s="32"/>
      <c r="T94" s="32"/>
      <c r="U94" s="32"/>
      <c r="V94" s="1360"/>
      <c r="W94" s="1360"/>
      <c r="X94" s="1360"/>
      <c r="Y94" s="1360"/>
      <c r="Z94" s="1360"/>
      <c r="AA94" s="1360"/>
      <c r="AB94" s="1360"/>
      <c r="AC94" s="1360"/>
      <c r="AD94" s="1360"/>
      <c r="AE94" s="1360"/>
    </row>
    <row r="95" spans="12:31" ht="12.75" hidden="1" customHeight="1" x14ac:dyDescent="0.2">
      <c r="L95" s="32"/>
      <c r="M95" s="32"/>
      <c r="N95" s="32"/>
      <c r="T95" s="32"/>
      <c r="U95" s="32"/>
      <c r="V95" s="1360"/>
      <c r="W95" s="1360"/>
      <c r="X95" s="1360"/>
      <c r="Y95" s="1360"/>
      <c r="Z95" s="1360"/>
      <c r="AA95" s="1360"/>
      <c r="AB95" s="1360"/>
      <c r="AC95" s="1360"/>
      <c r="AD95" s="1360"/>
      <c r="AE95" s="1360"/>
    </row>
    <row r="96" spans="12:31" ht="12.75" hidden="1" customHeight="1" x14ac:dyDescent="0.2">
      <c r="L96" s="32"/>
      <c r="M96" s="32"/>
      <c r="N96" s="32"/>
      <c r="T96" s="32"/>
      <c r="U96" s="32"/>
      <c r="V96" s="1360"/>
      <c r="W96" s="1360"/>
      <c r="X96" s="1360"/>
      <c r="Y96" s="1360"/>
      <c r="Z96" s="1360"/>
      <c r="AA96" s="1360"/>
      <c r="AB96" s="1360"/>
      <c r="AC96" s="1360"/>
      <c r="AD96" s="1360"/>
      <c r="AE96" s="1360"/>
    </row>
    <row r="97" spans="12:31" ht="12.75" hidden="1" customHeight="1" x14ac:dyDescent="0.2">
      <c r="L97" s="32"/>
      <c r="M97" s="32"/>
      <c r="N97" s="32"/>
      <c r="T97" s="32"/>
      <c r="U97" s="32"/>
      <c r="V97" s="1360"/>
      <c r="W97" s="1360"/>
      <c r="X97" s="1360"/>
      <c r="Y97" s="1360"/>
      <c r="Z97" s="1360"/>
      <c r="AA97" s="1360"/>
      <c r="AB97" s="1360"/>
      <c r="AC97" s="1360"/>
      <c r="AD97" s="1360"/>
      <c r="AE97" s="1360"/>
    </row>
    <row r="98" spans="12:31" ht="12.75" hidden="1" customHeight="1" x14ac:dyDescent="0.2">
      <c r="L98" s="32"/>
      <c r="M98" s="32"/>
      <c r="N98" s="32"/>
      <c r="T98" s="32"/>
      <c r="U98" s="32"/>
      <c r="V98" s="1360"/>
      <c r="W98" s="1360"/>
      <c r="X98" s="1360"/>
      <c r="Y98" s="1360"/>
      <c r="Z98" s="1360"/>
      <c r="AA98" s="1360"/>
      <c r="AB98" s="1360"/>
      <c r="AC98" s="1360"/>
      <c r="AD98" s="1360"/>
      <c r="AE98" s="1360"/>
    </row>
    <row r="99" spans="12:31" ht="12.75" hidden="1" customHeight="1" x14ac:dyDescent="0.2">
      <c r="L99" s="32"/>
      <c r="M99" s="32"/>
      <c r="N99" s="32"/>
      <c r="T99" s="32"/>
      <c r="U99" s="32"/>
      <c r="V99" s="1360"/>
      <c r="W99" s="1360"/>
      <c r="X99" s="1360"/>
      <c r="Y99" s="1360"/>
      <c r="Z99" s="1360"/>
      <c r="AA99" s="1360"/>
      <c r="AB99" s="1360"/>
      <c r="AC99" s="1360"/>
      <c r="AD99" s="1360"/>
      <c r="AE99" s="1360"/>
    </row>
    <row r="100" spans="12:31" ht="12.75" hidden="1" customHeight="1" x14ac:dyDescent="0.2">
      <c r="L100" s="32"/>
      <c r="M100" s="32"/>
      <c r="N100" s="32"/>
      <c r="T100" s="32"/>
      <c r="U100" s="32"/>
      <c r="V100" s="1360"/>
      <c r="W100" s="1360"/>
      <c r="X100" s="1360"/>
      <c r="Y100" s="1360"/>
      <c r="Z100" s="1360"/>
      <c r="AA100" s="1360"/>
      <c r="AB100" s="1360"/>
      <c r="AC100" s="1360"/>
      <c r="AD100" s="1360"/>
      <c r="AE100" s="1360"/>
    </row>
    <row r="101" spans="12:31" ht="12.75" hidden="1" customHeight="1" x14ac:dyDescent="0.2">
      <c r="L101" s="32"/>
      <c r="M101" s="32"/>
      <c r="N101" s="32"/>
      <c r="T101" s="32"/>
      <c r="U101" s="32"/>
      <c r="V101" s="1360"/>
      <c r="W101" s="1360"/>
      <c r="X101" s="1360"/>
      <c r="Y101" s="1360"/>
      <c r="Z101" s="1360"/>
      <c r="AA101" s="1360"/>
      <c r="AB101" s="1360"/>
      <c r="AC101" s="1360"/>
      <c r="AD101" s="1360"/>
      <c r="AE101" s="1360"/>
    </row>
    <row r="102" spans="12:31" ht="12.75" hidden="1" customHeight="1" x14ac:dyDescent="0.2">
      <c r="L102" s="32"/>
      <c r="M102" s="32"/>
      <c r="N102" s="32"/>
      <c r="T102" s="32"/>
      <c r="U102" s="32"/>
      <c r="V102" s="1360"/>
      <c r="W102" s="1360"/>
      <c r="X102" s="1360"/>
      <c r="Y102" s="1360"/>
      <c r="Z102" s="1360"/>
      <c r="AA102" s="1360"/>
      <c r="AB102" s="1360"/>
      <c r="AC102" s="1360"/>
      <c r="AD102" s="1360"/>
      <c r="AE102" s="1360"/>
    </row>
    <row r="103" spans="12:31" ht="12.75" hidden="1" customHeight="1" x14ac:dyDescent="0.2">
      <c r="L103" s="32"/>
      <c r="M103" s="32"/>
      <c r="N103" s="32"/>
      <c r="T103" s="32"/>
      <c r="U103" s="32"/>
      <c r="V103" s="1360"/>
      <c r="W103" s="1360"/>
      <c r="X103" s="1360"/>
      <c r="Y103" s="1360"/>
      <c r="Z103" s="1360"/>
      <c r="AA103" s="1360"/>
      <c r="AB103" s="1360"/>
      <c r="AC103" s="1360"/>
      <c r="AD103" s="1360"/>
      <c r="AE103" s="1360"/>
    </row>
    <row r="104" spans="12:31" ht="12.75" hidden="1" customHeight="1" x14ac:dyDescent="0.2">
      <c r="L104" s="32"/>
      <c r="M104" s="32"/>
      <c r="N104" s="32"/>
      <c r="T104" s="32"/>
      <c r="U104" s="32"/>
      <c r="V104" s="1360"/>
      <c r="W104" s="1360"/>
      <c r="X104" s="1360"/>
      <c r="Y104" s="1360"/>
      <c r="Z104" s="1360"/>
      <c r="AA104" s="1360"/>
      <c r="AB104" s="1360"/>
      <c r="AC104" s="1360"/>
      <c r="AD104" s="1360"/>
      <c r="AE104" s="1360"/>
    </row>
    <row r="105" spans="12:31" ht="12.75" hidden="1" customHeight="1" x14ac:dyDescent="0.2">
      <c r="L105" s="32"/>
      <c r="M105" s="32"/>
      <c r="N105" s="32"/>
      <c r="T105" s="32"/>
      <c r="U105" s="32"/>
      <c r="V105" s="1360"/>
      <c r="W105" s="1360"/>
      <c r="X105" s="1360"/>
      <c r="Y105" s="1360"/>
      <c r="Z105" s="1360"/>
      <c r="AA105" s="1360"/>
      <c r="AB105" s="1360"/>
      <c r="AC105" s="1360"/>
      <c r="AD105" s="1360"/>
      <c r="AE105" s="1360"/>
    </row>
    <row r="106" spans="12:31" ht="12.75" hidden="1" customHeight="1" x14ac:dyDescent="0.2">
      <c r="L106" s="32"/>
      <c r="M106" s="32"/>
      <c r="N106" s="32"/>
      <c r="T106" s="32"/>
      <c r="U106" s="32"/>
      <c r="V106" s="1360"/>
      <c r="W106" s="1360"/>
      <c r="X106" s="1360"/>
      <c r="Y106" s="1360"/>
      <c r="Z106" s="1360"/>
      <c r="AA106" s="1360"/>
      <c r="AB106" s="1360"/>
      <c r="AC106" s="1360"/>
      <c r="AD106" s="1360"/>
      <c r="AE106" s="1360"/>
    </row>
    <row r="107" spans="12:31" ht="12.75" hidden="1" customHeight="1" x14ac:dyDescent="0.2">
      <c r="L107" s="32"/>
      <c r="M107" s="32"/>
      <c r="N107" s="32"/>
      <c r="T107" s="32"/>
      <c r="U107" s="32"/>
      <c r="V107" s="1360"/>
      <c r="W107" s="1360"/>
      <c r="X107" s="1360"/>
      <c r="Y107" s="1360"/>
      <c r="Z107" s="1360"/>
      <c r="AA107" s="1360"/>
      <c r="AB107" s="1360"/>
      <c r="AC107" s="1360"/>
      <c r="AD107" s="1360"/>
      <c r="AE107" s="1360"/>
    </row>
    <row r="108" spans="12:31" ht="12.75" hidden="1" customHeight="1" x14ac:dyDescent="0.2">
      <c r="L108" s="32"/>
      <c r="M108" s="32"/>
      <c r="N108" s="32"/>
      <c r="T108" s="32"/>
      <c r="U108" s="32"/>
      <c r="V108" s="1360"/>
      <c r="W108" s="1360"/>
      <c r="X108" s="1360"/>
      <c r="Y108" s="1360"/>
      <c r="Z108" s="1360"/>
      <c r="AA108" s="1360"/>
      <c r="AB108" s="1360"/>
      <c r="AC108" s="1360"/>
      <c r="AD108" s="1360"/>
      <c r="AE108" s="1360"/>
    </row>
    <row r="109" spans="12:31" ht="12.75" hidden="1" customHeight="1" x14ac:dyDescent="0.2">
      <c r="L109" s="32"/>
      <c r="M109" s="32"/>
      <c r="N109" s="32"/>
      <c r="T109" s="32"/>
      <c r="U109" s="32"/>
      <c r="V109" s="1360"/>
      <c r="W109" s="1360"/>
      <c r="X109" s="1360"/>
      <c r="Y109" s="1360"/>
      <c r="Z109" s="1360"/>
      <c r="AA109" s="1360"/>
      <c r="AB109" s="1360"/>
      <c r="AC109" s="1360"/>
      <c r="AD109" s="1360"/>
      <c r="AE109" s="1360"/>
    </row>
    <row r="110" spans="12:31" ht="12.75" hidden="1" customHeight="1" x14ac:dyDescent="0.2">
      <c r="L110" s="32"/>
      <c r="M110" s="32"/>
      <c r="N110" s="32"/>
      <c r="T110" s="32"/>
      <c r="U110" s="32"/>
      <c r="V110" s="1360"/>
      <c r="W110" s="1360"/>
      <c r="X110" s="1360"/>
      <c r="Y110" s="1360"/>
      <c r="Z110" s="1360"/>
      <c r="AA110" s="1360"/>
      <c r="AB110" s="1360"/>
      <c r="AC110" s="1360"/>
      <c r="AD110" s="1360"/>
      <c r="AE110" s="1360"/>
    </row>
    <row r="111" spans="12:31" ht="12.75" hidden="1" customHeight="1" x14ac:dyDescent="0.2">
      <c r="L111" s="32"/>
      <c r="M111" s="32"/>
      <c r="N111" s="32"/>
      <c r="T111" s="32"/>
      <c r="U111" s="32"/>
      <c r="V111" s="1360"/>
      <c r="W111" s="1360"/>
      <c r="X111" s="1360"/>
      <c r="Y111" s="1360"/>
      <c r="Z111" s="1360"/>
      <c r="AA111" s="1360"/>
      <c r="AB111" s="1360"/>
      <c r="AC111" s="1360"/>
      <c r="AD111" s="1360"/>
      <c r="AE111" s="1360"/>
    </row>
    <row r="112" spans="12:31" ht="12.75" hidden="1" customHeight="1" x14ac:dyDescent="0.2">
      <c r="L112" s="32"/>
      <c r="M112" s="32"/>
      <c r="N112" s="32"/>
      <c r="T112" s="32"/>
      <c r="U112" s="32"/>
      <c r="V112" s="1360"/>
      <c r="W112" s="1360"/>
      <c r="X112" s="1360"/>
      <c r="Y112" s="1360"/>
      <c r="Z112" s="1360"/>
      <c r="AA112" s="1360"/>
      <c r="AB112" s="1360"/>
      <c r="AC112" s="1360"/>
      <c r="AD112" s="1360"/>
      <c r="AE112" s="1360"/>
    </row>
    <row r="113" spans="12:31" ht="12.75" hidden="1" customHeight="1" x14ac:dyDescent="0.2">
      <c r="L113" s="32"/>
      <c r="M113" s="32"/>
      <c r="N113" s="32"/>
      <c r="T113" s="32"/>
      <c r="U113" s="32"/>
      <c r="V113" s="1360"/>
      <c r="W113" s="1360"/>
      <c r="X113" s="1360"/>
      <c r="Y113" s="1360"/>
      <c r="Z113" s="1360"/>
      <c r="AA113" s="1360"/>
      <c r="AB113" s="1360"/>
      <c r="AC113" s="1360"/>
      <c r="AD113" s="1360"/>
      <c r="AE113" s="1360"/>
    </row>
    <row r="114" spans="12:31" ht="12.75" hidden="1" customHeight="1" x14ac:dyDescent="0.2">
      <c r="L114" s="32"/>
      <c r="M114" s="32"/>
      <c r="N114" s="32"/>
      <c r="T114" s="32"/>
      <c r="U114" s="32"/>
      <c r="V114" s="1360"/>
      <c r="W114" s="1360"/>
      <c r="X114" s="1360"/>
      <c r="Y114" s="1360"/>
      <c r="Z114" s="1360"/>
      <c r="AA114" s="1360"/>
      <c r="AB114" s="1360"/>
      <c r="AC114" s="1360"/>
      <c r="AD114" s="1360"/>
      <c r="AE114" s="1360"/>
    </row>
    <row r="115" spans="12:31" ht="12.75" hidden="1" customHeight="1" x14ac:dyDescent="0.2">
      <c r="L115" s="32"/>
      <c r="M115" s="32"/>
      <c r="N115" s="32"/>
      <c r="T115" s="32"/>
      <c r="U115" s="32"/>
      <c r="V115" s="1360"/>
      <c r="W115" s="1360"/>
      <c r="X115" s="1360"/>
      <c r="Y115" s="1360"/>
      <c r="Z115" s="1360"/>
      <c r="AA115" s="1360"/>
      <c r="AB115" s="1360"/>
      <c r="AC115" s="1360"/>
      <c r="AD115" s="1360"/>
      <c r="AE115" s="1360"/>
    </row>
    <row r="116" spans="12:31" ht="12.75" hidden="1" customHeight="1" x14ac:dyDescent="0.2">
      <c r="L116" s="32"/>
      <c r="M116" s="32"/>
      <c r="N116" s="32"/>
      <c r="T116" s="32"/>
      <c r="U116" s="32"/>
      <c r="V116" s="1360"/>
      <c r="W116" s="1360"/>
      <c r="X116" s="1360"/>
      <c r="Y116" s="1360"/>
      <c r="Z116" s="1360"/>
      <c r="AA116" s="1360"/>
      <c r="AB116" s="1360"/>
      <c r="AC116" s="1360"/>
      <c r="AD116" s="1360"/>
      <c r="AE116" s="1360"/>
    </row>
    <row r="117" spans="12:31" ht="12.75" hidden="1" customHeight="1" x14ac:dyDescent="0.2">
      <c r="L117" s="32"/>
      <c r="M117" s="32"/>
      <c r="N117" s="32"/>
      <c r="T117" s="32"/>
      <c r="U117" s="32"/>
      <c r="V117" s="1360"/>
      <c r="W117" s="1360"/>
      <c r="X117" s="1360"/>
      <c r="Y117" s="1360"/>
      <c r="Z117" s="1360"/>
      <c r="AA117" s="1360"/>
      <c r="AB117" s="1360"/>
      <c r="AC117" s="1360"/>
      <c r="AD117" s="1360"/>
      <c r="AE117" s="1360"/>
    </row>
    <row r="118" spans="12:31" ht="12.75" hidden="1" customHeight="1" x14ac:dyDescent="0.2">
      <c r="L118" s="32"/>
      <c r="M118" s="32"/>
      <c r="N118" s="32"/>
      <c r="T118" s="32"/>
      <c r="U118" s="32"/>
      <c r="V118" s="1360"/>
      <c r="W118" s="1360"/>
      <c r="X118" s="1360"/>
      <c r="Y118" s="1360"/>
      <c r="Z118" s="1360"/>
      <c r="AA118" s="1360"/>
      <c r="AB118" s="1360"/>
      <c r="AC118" s="1360"/>
      <c r="AD118" s="1360"/>
      <c r="AE118" s="1360"/>
    </row>
    <row r="119" spans="12:31" ht="12.75" hidden="1" customHeight="1" x14ac:dyDescent="0.2">
      <c r="L119" s="32"/>
      <c r="M119" s="32"/>
      <c r="N119" s="32"/>
      <c r="T119" s="32"/>
      <c r="U119" s="32"/>
      <c r="V119" s="1360"/>
      <c r="W119" s="1360"/>
      <c r="X119" s="1360"/>
      <c r="Y119" s="1360"/>
      <c r="Z119" s="1360"/>
      <c r="AA119" s="1360"/>
      <c r="AB119" s="1360"/>
      <c r="AC119" s="1360"/>
      <c r="AD119" s="1360"/>
      <c r="AE119" s="1360"/>
    </row>
    <row r="120" spans="12:31" ht="12.75" hidden="1" customHeight="1" x14ac:dyDescent="0.2">
      <c r="L120" s="32"/>
      <c r="M120" s="32"/>
      <c r="N120" s="32"/>
      <c r="T120" s="32"/>
      <c r="U120" s="32"/>
      <c r="V120" s="1360"/>
      <c r="W120" s="1360"/>
      <c r="X120" s="1360"/>
      <c r="Y120" s="1360"/>
      <c r="Z120" s="1360"/>
      <c r="AA120" s="1360"/>
      <c r="AB120" s="1360"/>
      <c r="AC120" s="1360"/>
      <c r="AD120" s="1360"/>
      <c r="AE120" s="1360"/>
    </row>
    <row r="121" spans="12:31" ht="12.75" hidden="1" customHeight="1" x14ac:dyDescent="0.2">
      <c r="L121" s="32"/>
      <c r="M121" s="32"/>
      <c r="N121" s="32"/>
      <c r="T121" s="32"/>
      <c r="U121" s="32"/>
      <c r="V121" s="1360"/>
      <c r="W121" s="1360"/>
      <c r="X121" s="1360"/>
      <c r="Y121" s="1360"/>
      <c r="Z121" s="1360"/>
      <c r="AA121" s="1360"/>
      <c r="AB121" s="1360"/>
      <c r="AC121" s="1360"/>
      <c r="AD121" s="1360"/>
      <c r="AE121" s="1360"/>
    </row>
    <row r="122" spans="12:31" ht="12.75" hidden="1" customHeight="1" x14ac:dyDescent="0.2">
      <c r="L122" s="32"/>
      <c r="M122" s="32"/>
      <c r="N122" s="32"/>
      <c r="T122" s="32"/>
      <c r="U122" s="32"/>
      <c r="V122" s="1360"/>
      <c r="W122" s="1360"/>
      <c r="X122" s="1360"/>
      <c r="Y122" s="1360"/>
      <c r="Z122" s="1360"/>
      <c r="AA122" s="1360"/>
      <c r="AB122" s="1360"/>
      <c r="AC122" s="1360"/>
      <c r="AD122" s="1360"/>
      <c r="AE122" s="1360"/>
    </row>
    <row r="123" spans="12:31" ht="12.75" hidden="1" customHeight="1" x14ac:dyDescent="0.2">
      <c r="L123" s="32"/>
      <c r="M123" s="32"/>
      <c r="N123" s="32"/>
      <c r="T123" s="32"/>
      <c r="U123" s="32"/>
      <c r="V123" s="1360"/>
      <c r="W123" s="1360"/>
      <c r="X123" s="1360"/>
      <c r="Y123" s="1360"/>
      <c r="Z123" s="1360"/>
      <c r="AA123" s="1360"/>
      <c r="AB123" s="1360"/>
      <c r="AC123" s="1360"/>
      <c r="AD123" s="1360"/>
      <c r="AE123" s="1360"/>
    </row>
    <row r="124" spans="12:31" ht="12.75" hidden="1" customHeight="1" x14ac:dyDescent="0.2">
      <c r="L124" s="32"/>
      <c r="M124" s="32"/>
      <c r="N124" s="32"/>
      <c r="T124" s="32"/>
      <c r="U124" s="32"/>
      <c r="V124" s="1360"/>
      <c r="W124" s="1360"/>
      <c r="X124" s="1360"/>
      <c r="Y124" s="1360"/>
      <c r="Z124" s="1360"/>
      <c r="AA124" s="1360"/>
      <c r="AB124" s="1360"/>
      <c r="AC124" s="1360"/>
      <c r="AD124" s="1360"/>
      <c r="AE124" s="1360"/>
    </row>
    <row r="125" spans="12:31" ht="12.75" hidden="1" customHeight="1" x14ac:dyDescent="0.2">
      <c r="L125" s="32"/>
      <c r="M125" s="32"/>
      <c r="N125" s="32"/>
      <c r="T125" s="32"/>
      <c r="U125" s="32"/>
      <c r="V125" s="1360"/>
      <c r="W125" s="1360"/>
      <c r="X125" s="1360"/>
      <c r="Y125" s="1360"/>
      <c r="Z125" s="1360"/>
      <c r="AA125" s="1360"/>
      <c r="AB125" s="1360"/>
      <c r="AC125" s="1360"/>
      <c r="AD125" s="1360"/>
      <c r="AE125" s="1360"/>
    </row>
    <row r="126" spans="12:31" ht="12.75" hidden="1" customHeight="1" x14ac:dyDescent="0.2">
      <c r="L126" s="32"/>
      <c r="M126" s="32"/>
      <c r="N126" s="32"/>
      <c r="T126" s="32"/>
      <c r="U126" s="32"/>
      <c r="V126" s="1360"/>
      <c r="W126" s="1360"/>
      <c r="X126" s="1360"/>
      <c r="Y126" s="1360"/>
      <c r="Z126" s="1360"/>
      <c r="AA126" s="1360"/>
      <c r="AB126" s="1360"/>
      <c r="AC126" s="1360"/>
      <c r="AD126" s="1360"/>
      <c r="AE126" s="1360"/>
    </row>
    <row r="127" spans="12:31" ht="12.75" hidden="1" customHeight="1" x14ac:dyDescent="0.2">
      <c r="L127" s="32"/>
      <c r="M127" s="32"/>
      <c r="N127" s="32"/>
      <c r="T127" s="32"/>
      <c r="U127" s="32"/>
      <c r="V127" s="1360"/>
      <c r="W127" s="1360"/>
      <c r="X127" s="1360"/>
      <c r="Y127" s="1360"/>
      <c r="Z127" s="1360"/>
      <c r="AA127" s="1360"/>
      <c r="AB127" s="1360"/>
      <c r="AC127" s="1360"/>
      <c r="AD127" s="1360"/>
      <c r="AE127" s="1360"/>
    </row>
    <row r="128" spans="12:31" ht="12.75" hidden="1" customHeight="1" x14ac:dyDescent="0.2">
      <c r="L128" s="32"/>
      <c r="M128" s="32"/>
      <c r="N128" s="32"/>
      <c r="T128" s="32"/>
      <c r="U128" s="32"/>
      <c r="V128" s="1360"/>
      <c r="W128" s="1360"/>
      <c r="X128" s="1360"/>
      <c r="Y128" s="1360"/>
      <c r="Z128" s="1360"/>
      <c r="AA128" s="1360"/>
      <c r="AB128" s="1360"/>
      <c r="AC128" s="1360"/>
      <c r="AD128" s="1360"/>
      <c r="AE128" s="1360"/>
    </row>
    <row r="129" spans="12:31" ht="12.75" hidden="1" customHeight="1" x14ac:dyDescent="0.2">
      <c r="L129" s="32"/>
      <c r="M129" s="32"/>
      <c r="N129" s="32"/>
      <c r="T129" s="32"/>
      <c r="U129" s="32"/>
      <c r="V129" s="1360"/>
      <c r="W129" s="1360"/>
      <c r="X129" s="1360"/>
      <c r="Y129" s="1360"/>
      <c r="Z129" s="1360"/>
      <c r="AA129" s="1360"/>
      <c r="AB129" s="1360"/>
      <c r="AC129" s="1360"/>
      <c r="AD129" s="1360"/>
      <c r="AE129" s="1360"/>
    </row>
    <row r="130" spans="12:31" ht="12.75" hidden="1" customHeight="1" x14ac:dyDescent="0.2">
      <c r="L130" s="32"/>
      <c r="M130" s="32"/>
      <c r="N130" s="32"/>
      <c r="T130" s="32"/>
      <c r="U130" s="32"/>
      <c r="V130" s="1360"/>
      <c r="W130" s="1360"/>
      <c r="X130" s="1360"/>
      <c r="Y130" s="1360"/>
      <c r="Z130" s="1360"/>
      <c r="AA130" s="1360"/>
      <c r="AB130" s="1360"/>
      <c r="AC130" s="1360"/>
      <c r="AD130" s="1360"/>
      <c r="AE130" s="1360"/>
    </row>
    <row r="131" spans="12:31" ht="12.75" hidden="1" customHeight="1" x14ac:dyDescent="0.2">
      <c r="L131" s="32"/>
      <c r="M131" s="32"/>
      <c r="N131" s="32"/>
      <c r="T131" s="32"/>
      <c r="U131" s="32"/>
      <c r="V131" s="1360"/>
      <c r="W131" s="1360"/>
      <c r="X131" s="1360"/>
      <c r="Y131" s="1360"/>
      <c r="Z131" s="1360"/>
      <c r="AA131" s="1360"/>
      <c r="AB131" s="1360"/>
      <c r="AC131" s="1360"/>
      <c r="AD131" s="1360"/>
      <c r="AE131" s="1360"/>
    </row>
    <row r="132" spans="12:31" ht="12.75" hidden="1" customHeight="1" x14ac:dyDescent="0.2">
      <c r="L132" s="32"/>
      <c r="M132" s="32"/>
      <c r="N132" s="32"/>
      <c r="T132" s="32"/>
      <c r="U132" s="32"/>
      <c r="V132" s="1360"/>
      <c r="W132" s="1360"/>
      <c r="X132" s="1360"/>
      <c r="Y132" s="1360"/>
      <c r="Z132" s="1360"/>
      <c r="AA132" s="1360"/>
      <c r="AB132" s="1360"/>
      <c r="AC132" s="1360"/>
      <c r="AD132" s="1360"/>
      <c r="AE132" s="1360"/>
    </row>
    <row r="133" spans="12:31" ht="12.75" hidden="1" customHeight="1" x14ac:dyDescent="0.2">
      <c r="L133" s="32"/>
      <c r="M133" s="32"/>
      <c r="N133" s="32"/>
      <c r="T133" s="32"/>
      <c r="U133" s="32"/>
      <c r="V133" s="1360"/>
      <c r="W133" s="1360"/>
      <c r="X133" s="1360"/>
      <c r="Y133" s="1360"/>
      <c r="Z133" s="1360"/>
      <c r="AA133" s="1360"/>
      <c r="AB133" s="1360"/>
      <c r="AC133" s="1360"/>
      <c r="AD133" s="1360"/>
      <c r="AE133" s="1360"/>
    </row>
    <row r="134" spans="12:31" ht="12.75" hidden="1" customHeight="1" x14ac:dyDescent="0.2">
      <c r="L134" s="32"/>
      <c r="M134" s="32"/>
      <c r="N134" s="32"/>
      <c r="T134" s="32"/>
      <c r="U134" s="32"/>
      <c r="V134" s="1360"/>
      <c r="W134" s="1360"/>
      <c r="X134" s="1360"/>
      <c r="Y134" s="1360"/>
      <c r="Z134" s="1360"/>
      <c r="AA134" s="1360"/>
      <c r="AB134" s="1360"/>
      <c r="AC134" s="1360"/>
      <c r="AD134" s="1360"/>
      <c r="AE134" s="1360"/>
    </row>
    <row r="135" spans="12:31" ht="12.75" hidden="1" customHeight="1" x14ac:dyDescent="0.2">
      <c r="L135" s="32"/>
      <c r="M135" s="32"/>
      <c r="N135" s="32"/>
      <c r="T135" s="32"/>
      <c r="U135" s="32"/>
      <c r="V135" s="1360"/>
      <c r="W135" s="1360"/>
      <c r="X135" s="1360"/>
      <c r="Y135" s="1360"/>
      <c r="Z135" s="1360"/>
      <c r="AA135" s="1360"/>
      <c r="AB135" s="1360"/>
      <c r="AC135" s="1360"/>
      <c r="AD135" s="1360"/>
      <c r="AE135" s="1360"/>
    </row>
    <row r="136" spans="12:31" ht="12.75" hidden="1" customHeight="1" x14ac:dyDescent="0.2">
      <c r="L136" s="32"/>
      <c r="M136" s="32"/>
      <c r="N136" s="32"/>
      <c r="T136" s="32"/>
      <c r="U136" s="32"/>
      <c r="V136" s="1360"/>
      <c r="W136" s="1360"/>
      <c r="X136" s="1360"/>
      <c r="Y136" s="1360"/>
      <c r="Z136" s="1360"/>
      <c r="AA136" s="1360"/>
      <c r="AB136" s="1360"/>
      <c r="AC136" s="1360"/>
      <c r="AD136" s="1360"/>
      <c r="AE136" s="1360"/>
    </row>
    <row r="137" spans="12:31" ht="12.75" hidden="1" customHeight="1" x14ac:dyDescent="0.2">
      <c r="L137" s="32"/>
      <c r="M137" s="32"/>
      <c r="N137" s="32"/>
      <c r="T137" s="32"/>
      <c r="U137" s="32"/>
      <c r="V137" s="1360"/>
      <c r="W137" s="1360"/>
      <c r="X137" s="1360"/>
      <c r="Y137" s="1360"/>
      <c r="Z137" s="1360"/>
      <c r="AA137" s="1360"/>
      <c r="AB137" s="1360"/>
      <c r="AC137" s="1360"/>
      <c r="AD137" s="1360"/>
      <c r="AE137" s="1360"/>
    </row>
    <row r="138" spans="12:31" ht="12.75" hidden="1" customHeight="1" x14ac:dyDescent="0.2">
      <c r="L138" s="32"/>
      <c r="M138" s="32"/>
      <c r="N138" s="32"/>
      <c r="T138" s="32"/>
      <c r="U138" s="32"/>
      <c r="V138" s="1360"/>
      <c r="W138" s="1360"/>
      <c r="X138" s="1360"/>
      <c r="Y138" s="1360"/>
      <c r="Z138" s="1360"/>
      <c r="AA138" s="1360"/>
      <c r="AB138" s="1360"/>
      <c r="AC138" s="1360"/>
      <c r="AD138" s="1360"/>
      <c r="AE138" s="1360"/>
    </row>
    <row r="139" spans="12:31" ht="12.75" hidden="1" customHeight="1" x14ac:dyDescent="0.2">
      <c r="L139" s="32"/>
      <c r="M139" s="32"/>
      <c r="N139" s="32"/>
      <c r="T139" s="32"/>
      <c r="U139" s="32"/>
      <c r="V139" s="1360"/>
      <c r="W139" s="1360"/>
      <c r="X139" s="1360"/>
      <c r="Y139" s="1360"/>
      <c r="Z139" s="1360"/>
      <c r="AA139" s="1360"/>
      <c r="AB139" s="1360"/>
      <c r="AC139" s="1360"/>
      <c r="AD139" s="1360"/>
      <c r="AE139" s="1360"/>
    </row>
    <row r="140" spans="12:31" ht="12.75" hidden="1" customHeight="1" x14ac:dyDescent="0.2">
      <c r="L140" s="32"/>
      <c r="M140" s="32"/>
      <c r="N140" s="32"/>
      <c r="T140" s="32"/>
      <c r="U140" s="32"/>
      <c r="V140" s="1360"/>
      <c r="W140" s="1360"/>
      <c r="X140" s="1360"/>
      <c r="Y140" s="1360"/>
      <c r="Z140" s="1360"/>
      <c r="AA140" s="1360"/>
      <c r="AB140" s="1360"/>
      <c r="AC140" s="1360"/>
      <c r="AD140" s="1360"/>
      <c r="AE140" s="1360"/>
    </row>
    <row r="141" spans="12:31" ht="12.75" hidden="1" customHeight="1" x14ac:dyDescent="0.2">
      <c r="L141" s="32"/>
      <c r="M141" s="32"/>
      <c r="N141" s="32"/>
      <c r="T141" s="32"/>
      <c r="U141" s="32"/>
      <c r="V141" s="1360"/>
      <c r="W141" s="1360"/>
      <c r="X141" s="1360"/>
      <c r="Y141" s="1360"/>
      <c r="Z141" s="1360"/>
      <c r="AA141" s="1360"/>
      <c r="AB141" s="1360"/>
      <c r="AC141" s="1360"/>
      <c r="AD141" s="1360"/>
      <c r="AE141" s="1360"/>
    </row>
    <row r="142" spans="12:31" ht="12.75" hidden="1" customHeight="1" x14ac:dyDescent="0.2">
      <c r="L142" s="32"/>
      <c r="M142" s="32"/>
      <c r="N142" s="32"/>
      <c r="T142" s="32"/>
      <c r="U142" s="32"/>
      <c r="V142" s="1360"/>
      <c r="W142" s="1360"/>
      <c r="X142" s="1360"/>
      <c r="Y142" s="1360"/>
      <c r="Z142" s="1360"/>
      <c r="AA142" s="1360"/>
      <c r="AB142" s="1360"/>
      <c r="AC142" s="1360"/>
      <c r="AD142" s="1360"/>
      <c r="AE142" s="1360"/>
    </row>
    <row r="143" spans="12:31" ht="12.75" hidden="1" customHeight="1" x14ac:dyDescent="0.2">
      <c r="L143" s="32"/>
      <c r="M143" s="32"/>
      <c r="N143" s="32"/>
      <c r="T143" s="32"/>
      <c r="U143" s="32"/>
      <c r="V143" s="1360"/>
      <c r="W143" s="1360"/>
      <c r="X143" s="1360"/>
      <c r="Y143" s="1360"/>
      <c r="Z143" s="1360"/>
      <c r="AA143" s="1360"/>
      <c r="AB143" s="1360"/>
      <c r="AC143" s="1360"/>
      <c r="AD143" s="1360"/>
      <c r="AE143" s="1360"/>
    </row>
    <row r="144" spans="12:31" ht="12.75" hidden="1" customHeight="1" x14ac:dyDescent="0.2">
      <c r="L144" s="32"/>
      <c r="M144" s="32"/>
      <c r="N144" s="32"/>
      <c r="T144" s="32"/>
      <c r="U144" s="32"/>
      <c r="V144" s="1360"/>
      <c r="W144" s="1360"/>
      <c r="X144" s="1360"/>
      <c r="Y144" s="1360"/>
      <c r="Z144" s="1360"/>
      <c r="AA144" s="1360"/>
      <c r="AB144" s="1360"/>
      <c r="AC144" s="1360"/>
      <c r="AD144" s="1360"/>
      <c r="AE144" s="1360"/>
    </row>
    <row r="145" spans="12:31" ht="12.75" hidden="1" customHeight="1" x14ac:dyDescent="0.2">
      <c r="L145" s="32"/>
      <c r="M145" s="32"/>
      <c r="N145" s="32"/>
      <c r="T145" s="32"/>
      <c r="U145" s="32"/>
      <c r="V145" s="1360"/>
      <c r="W145" s="1360"/>
      <c r="X145" s="1360"/>
      <c r="Y145" s="1360"/>
      <c r="Z145" s="1360"/>
      <c r="AA145" s="1360"/>
      <c r="AB145" s="1360"/>
      <c r="AC145" s="1360"/>
      <c r="AD145" s="1360"/>
      <c r="AE145" s="1360"/>
    </row>
    <row r="146" spans="12:31" ht="12.75" hidden="1" customHeight="1" x14ac:dyDescent="0.2">
      <c r="L146" s="32"/>
      <c r="M146" s="32"/>
      <c r="N146" s="32"/>
      <c r="T146" s="32"/>
      <c r="U146" s="32"/>
      <c r="V146" s="1360"/>
      <c r="W146" s="1360"/>
      <c r="X146" s="1360"/>
      <c r="Y146" s="1360"/>
      <c r="Z146" s="1360"/>
      <c r="AA146" s="1360"/>
      <c r="AB146" s="1360"/>
      <c r="AC146" s="1360"/>
      <c r="AD146" s="1360"/>
      <c r="AE146" s="1360"/>
    </row>
    <row r="147" spans="12:31" ht="12.75" hidden="1" customHeight="1" x14ac:dyDescent="0.2">
      <c r="V147" s="1360"/>
      <c r="W147" s="1360"/>
      <c r="X147" s="1360"/>
      <c r="Y147" s="1360"/>
      <c r="Z147" s="1360"/>
      <c r="AA147" s="1360"/>
      <c r="AB147" s="1360"/>
      <c r="AC147" s="1360"/>
      <c r="AD147" s="1360"/>
      <c r="AE147" s="1360"/>
    </row>
    <row r="148" spans="12:31" ht="12.75" hidden="1" customHeight="1" x14ac:dyDescent="0.2">
      <c r="V148" s="1360"/>
      <c r="W148" s="1360"/>
      <c r="X148" s="1360"/>
      <c r="Y148" s="1360"/>
      <c r="Z148" s="1360"/>
      <c r="AA148" s="1360"/>
      <c r="AB148" s="1360"/>
      <c r="AC148" s="1360"/>
      <c r="AD148" s="1360"/>
      <c r="AE148" s="1360"/>
    </row>
    <row r="149" spans="12:31" hidden="1" x14ac:dyDescent="0.2">
      <c r="V149" s="1360"/>
      <c r="W149" s="1360"/>
      <c r="X149" s="1360"/>
      <c r="Y149" s="1360"/>
      <c r="Z149" s="1360"/>
      <c r="AA149" s="1360"/>
      <c r="AB149" s="1360"/>
      <c r="AC149" s="1360"/>
      <c r="AD149" s="1360"/>
      <c r="AE149" s="1360"/>
    </row>
    <row r="150" spans="12:31" hidden="1" x14ac:dyDescent="0.2">
      <c r="V150" s="1360"/>
      <c r="W150" s="1360"/>
      <c r="X150" s="1360"/>
      <c r="Y150" s="1360"/>
      <c r="Z150" s="1360"/>
      <c r="AA150" s="1360"/>
      <c r="AB150" s="1360"/>
      <c r="AC150" s="1360"/>
      <c r="AD150" s="1360"/>
      <c r="AE150" s="1360"/>
    </row>
    <row r="151" spans="12:31" hidden="1" x14ac:dyDescent="0.2">
      <c r="V151" s="1360"/>
      <c r="W151" s="1360"/>
      <c r="X151" s="1360"/>
      <c r="Y151" s="1360"/>
      <c r="Z151" s="1360"/>
      <c r="AA151" s="1360"/>
      <c r="AB151" s="1360"/>
      <c r="AC151" s="1360"/>
      <c r="AD151" s="1360"/>
      <c r="AE151" s="1360"/>
    </row>
    <row r="152" spans="12:31" hidden="1" x14ac:dyDescent="0.2">
      <c r="V152" s="1360"/>
      <c r="W152" s="1360"/>
      <c r="X152" s="1360"/>
      <c r="Y152" s="1360"/>
      <c r="Z152" s="1360"/>
      <c r="AA152" s="1360"/>
      <c r="AB152" s="1360"/>
      <c r="AC152" s="1360"/>
      <c r="AD152" s="1360"/>
      <c r="AE152" s="1360"/>
    </row>
    <row r="153" spans="12:31" hidden="1" x14ac:dyDescent="0.2">
      <c r="V153" s="1360"/>
      <c r="W153" s="1360"/>
      <c r="X153" s="1360"/>
      <c r="Y153" s="1360"/>
      <c r="Z153" s="1360"/>
      <c r="AA153" s="1360"/>
      <c r="AB153" s="1360"/>
      <c r="AC153" s="1360"/>
      <c r="AD153" s="1360"/>
      <c r="AE153" s="1360"/>
    </row>
    <row r="154" spans="12:31" hidden="1" x14ac:dyDescent="0.2">
      <c r="V154" s="1360"/>
      <c r="W154" s="1360"/>
      <c r="X154" s="1360"/>
      <c r="Y154" s="1360"/>
      <c r="Z154" s="1360"/>
      <c r="AA154" s="1360"/>
      <c r="AB154" s="1360"/>
      <c r="AC154" s="1360"/>
      <c r="AD154" s="1360"/>
      <c r="AE154" s="1360"/>
    </row>
    <row r="155" spans="12:31" hidden="1" x14ac:dyDescent="0.2">
      <c r="V155" s="1360"/>
      <c r="W155" s="1360"/>
      <c r="X155" s="1360"/>
      <c r="Y155" s="1360"/>
      <c r="Z155" s="1360"/>
      <c r="AA155" s="1360"/>
      <c r="AB155" s="1360"/>
      <c r="AC155" s="1360"/>
      <c r="AD155" s="1360"/>
      <c r="AE155" s="1360"/>
    </row>
    <row r="156" spans="12:31" hidden="1" x14ac:dyDescent="0.2">
      <c r="V156" s="1360"/>
      <c r="W156" s="1360"/>
      <c r="X156" s="1360"/>
      <c r="Y156" s="1360"/>
      <c r="Z156" s="1360"/>
      <c r="AA156" s="1360"/>
      <c r="AB156" s="1360"/>
      <c r="AC156" s="1360"/>
      <c r="AD156" s="1360"/>
      <c r="AE156" s="1360"/>
    </row>
    <row r="157" spans="12:31" hidden="1" x14ac:dyDescent="0.2">
      <c r="V157" s="1360"/>
      <c r="W157" s="1360"/>
      <c r="X157" s="1360"/>
      <c r="Y157" s="1360"/>
      <c r="Z157" s="1360"/>
      <c r="AA157" s="1360"/>
      <c r="AB157" s="1360"/>
      <c r="AC157" s="1360"/>
      <c r="AD157" s="1360"/>
      <c r="AE157" s="1360"/>
    </row>
    <row r="158" spans="12:31" hidden="1" x14ac:dyDescent="0.2">
      <c r="V158" s="1360"/>
      <c r="W158" s="1360"/>
      <c r="X158" s="1360"/>
      <c r="Y158" s="1360"/>
      <c r="Z158" s="1360"/>
      <c r="AA158" s="1360"/>
      <c r="AB158" s="1360"/>
      <c r="AC158" s="1360"/>
      <c r="AD158" s="1360"/>
      <c r="AE158" s="1360"/>
    </row>
    <row r="159" spans="12:31" hidden="1" x14ac:dyDescent="0.2">
      <c r="V159" s="1360"/>
      <c r="W159" s="1360"/>
      <c r="X159" s="1360"/>
      <c r="Y159" s="1360"/>
      <c r="Z159" s="1360"/>
      <c r="AA159" s="1360"/>
      <c r="AB159" s="1360"/>
      <c r="AC159" s="1360"/>
      <c r="AD159" s="1360"/>
      <c r="AE159" s="1360"/>
    </row>
    <row r="160" spans="12:31" hidden="1" x14ac:dyDescent="0.2">
      <c r="V160" s="1360"/>
      <c r="W160" s="1360"/>
      <c r="X160" s="1360"/>
      <c r="Y160" s="1360"/>
      <c r="Z160" s="1360"/>
      <c r="AA160" s="1360"/>
      <c r="AB160" s="1360"/>
      <c r="AC160" s="1360"/>
      <c r="AD160" s="1360"/>
      <c r="AE160" s="1360"/>
    </row>
    <row r="161" spans="12:31" hidden="1" x14ac:dyDescent="0.2">
      <c r="V161" s="1360"/>
      <c r="W161" s="1360"/>
      <c r="X161" s="1360"/>
      <c r="Y161" s="1360"/>
      <c r="Z161" s="1360"/>
      <c r="AA161" s="1360"/>
      <c r="AB161" s="1360"/>
      <c r="AC161" s="1360"/>
      <c r="AD161" s="1360"/>
      <c r="AE161" s="1360"/>
    </row>
    <row r="162" spans="12:31" hidden="1" x14ac:dyDescent="0.2">
      <c r="V162" s="1360"/>
      <c r="W162" s="1360"/>
      <c r="X162" s="1360"/>
      <c r="Y162" s="1360"/>
      <c r="Z162" s="1360"/>
      <c r="AA162" s="1360"/>
      <c r="AB162" s="1360"/>
      <c r="AC162" s="1360"/>
      <c r="AD162" s="1360"/>
      <c r="AE162" s="1360"/>
    </row>
    <row r="163" spans="12:31" hidden="1" x14ac:dyDescent="0.2">
      <c r="L163" s="32"/>
      <c r="M163" s="32"/>
      <c r="N163" s="32"/>
      <c r="T163" s="32"/>
      <c r="U163" s="32"/>
      <c r="V163" s="1360"/>
      <c r="W163" s="1360"/>
      <c r="X163" s="1360"/>
      <c r="Y163" s="1360"/>
      <c r="Z163" s="1360"/>
      <c r="AA163" s="1360"/>
      <c r="AB163" s="1360"/>
      <c r="AC163" s="1360"/>
      <c r="AD163" s="1360"/>
      <c r="AE163" s="1360"/>
    </row>
    <row r="164" spans="12:31" hidden="1" x14ac:dyDescent="0.2">
      <c r="L164" s="32"/>
      <c r="M164" s="32"/>
      <c r="N164" s="32"/>
      <c r="T164" s="32"/>
      <c r="U164" s="32"/>
      <c r="V164" s="1360"/>
      <c r="W164" s="1360"/>
      <c r="X164" s="1360"/>
      <c r="Y164" s="1360"/>
      <c r="Z164" s="1360"/>
      <c r="AA164" s="1360"/>
      <c r="AB164" s="1360"/>
      <c r="AC164" s="1360"/>
      <c r="AD164" s="1360"/>
      <c r="AE164" s="1360"/>
    </row>
    <row r="165" spans="12:31" hidden="1" x14ac:dyDescent="0.2">
      <c r="L165" s="32"/>
      <c r="M165" s="32"/>
      <c r="N165" s="32"/>
      <c r="T165" s="32"/>
      <c r="U165" s="32"/>
      <c r="V165" s="1360"/>
      <c r="W165" s="1360"/>
      <c r="X165" s="1360"/>
      <c r="Y165" s="1360"/>
      <c r="Z165" s="1360"/>
      <c r="AA165" s="1360"/>
      <c r="AB165" s="1360"/>
      <c r="AC165" s="1360"/>
      <c r="AD165" s="1360"/>
      <c r="AE165" s="1360"/>
    </row>
    <row r="166" spans="12:31" hidden="1" x14ac:dyDescent="0.2">
      <c r="L166" s="32"/>
      <c r="M166" s="32"/>
      <c r="N166" s="32"/>
      <c r="T166" s="32"/>
      <c r="U166" s="32"/>
      <c r="V166" s="1360"/>
      <c r="W166" s="1360"/>
      <c r="X166" s="1360"/>
      <c r="Y166" s="1360"/>
      <c r="Z166" s="1360"/>
      <c r="AA166" s="1360"/>
      <c r="AB166" s="1360"/>
      <c r="AC166" s="1360"/>
      <c r="AD166" s="1360"/>
      <c r="AE166" s="1360"/>
    </row>
    <row r="167" spans="12:31" hidden="1" x14ac:dyDescent="0.2">
      <c r="L167" s="32"/>
      <c r="M167" s="32"/>
      <c r="N167" s="32"/>
      <c r="T167" s="32"/>
      <c r="U167" s="32"/>
      <c r="V167" s="1360"/>
      <c r="W167" s="1360"/>
      <c r="X167" s="1360"/>
      <c r="Y167" s="1360"/>
      <c r="Z167" s="1360"/>
      <c r="AA167" s="1360"/>
      <c r="AB167" s="1360"/>
      <c r="AC167" s="1360"/>
      <c r="AD167" s="1360"/>
      <c r="AE167" s="1360"/>
    </row>
    <row r="168" spans="12:31" hidden="1" x14ac:dyDescent="0.2">
      <c r="L168" s="32"/>
      <c r="M168" s="32"/>
      <c r="N168" s="32"/>
      <c r="T168" s="32"/>
      <c r="U168" s="32"/>
      <c r="V168" s="1360"/>
      <c r="W168" s="1360"/>
      <c r="X168" s="1360"/>
      <c r="Y168" s="1360"/>
      <c r="Z168" s="1360"/>
      <c r="AA168" s="1360"/>
      <c r="AB168" s="1360"/>
      <c r="AC168" s="1360"/>
      <c r="AD168" s="1360"/>
      <c r="AE168" s="1360"/>
    </row>
    <row r="169" spans="12:31" hidden="1" x14ac:dyDescent="0.2">
      <c r="L169" s="32"/>
      <c r="M169" s="32"/>
      <c r="N169" s="32"/>
      <c r="T169" s="32"/>
      <c r="U169" s="32"/>
      <c r="V169" s="1360"/>
      <c r="W169" s="1360"/>
      <c r="X169" s="1360"/>
      <c r="Y169" s="1360"/>
      <c r="Z169" s="1360"/>
      <c r="AA169" s="1360"/>
      <c r="AB169" s="1360"/>
      <c r="AC169" s="1360"/>
      <c r="AD169" s="1360"/>
      <c r="AE169" s="1360"/>
    </row>
    <row r="170" spans="12:31" hidden="1" x14ac:dyDescent="0.2">
      <c r="L170" s="32"/>
      <c r="M170" s="32"/>
      <c r="N170" s="32"/>
      <c r="T170" s="32"/>
      <c r="U170" s="32"/>
      <c r="V170" s="1360"/>
      <c r="W170" s="1360"/>
      <c r="X170" s="1360"/>
      <c r="Y170" s="1360"/>
      <c r="Z170" s="1360"/>
      <c r="AA170" s="1360"/>
      <c r="AB170" s="1360"/>
      <c r="AC170" s="1360"/>
      <c r="AD170" s="1360"/>
      <c r="AE170" s="1360"/>
    </row>
    <row r="171" spans="12:31" hidden="1" x14ac:dyDescent="0.2">
      <c r="L171" s="32"/>
      <c r="M171" s="32"/>
      <c r="N171" s="32"/>
      <c r="T171" s="32"/>
      <c r="U171" s="32"/>
      <c r="V171" s="1360"/>
      <c r="W171" s="1360"/>
      <c r="X171" s="1360"/>
      <c r="Y171" s="1360"/>
      <c r="Z171" s="1360"/>
      <c r="AA171" s="1360"/>
      <c r="AB171" s="1360"/>
      <c r="AC171" s="1360"/>
      <c r="AD171" s="1360"/>
      <c r="AE171" s="1360"/>
    </row>
    <row r="172" spans="12:31" hidden="1" x14ac:dyDescent="0.2">
      <c r="L172" s="32"/>
      <c r="M172" s="32"/>
      <c r="N172" s="32"/>
      <c r="T172" s="32"/>
      <c r="U172" s="32"/>
      <c r="V172" s="1360"/>
      <c r="W172" s="1360"/>
      <c r="X172" s="1360"/>
      <c r="Y172" s="1360"/>
      <c r="Z172" s="1360"/>
      <c r="AA172" s="1360"/>
      <c r="AB172" s="1360"/>
      <c r="AC172" s="1360"/>
      <c r="AD172" s="1360"/>
      <c r="AE172" s="1360"/>
    </row>
    <row r="173" spans="12:31" hidden="1" x14ac:dyDescent="0.2">
      <c r="L173" s="32"/>
      <c r="M173" s="32"/>
      <c r="N173" s="32"/>
      <c r="T173" s="32"/>
      <c r="U173" s="32"/>
      <c r="V173" s="1360"/>
      <c r="W173" s="1360"/>
      <c r="X173" s="1360"/>
      <c r="Y173" s="1360"/>
      <c r="Z173" s="1360"/>
      <c r="AA173" s="1360"/>
      <c r="AB173" s="1360"/>
      <c r="AC173" s="1360"/>
      <c r="AD173" s="1360"/>
      <c r="AE173" s="1360"/>
    </row>
    <row r="174" spans="12:31" hidden="1" x14ac:dyDescent="0.2">
      <c r="L174" s="32"/>
      <c r="M174" s="32"/>
      <c r="N174" s="32"/>
      <c r="T174" s="32"/>
      <c r="U174" s="32"/>
      <c r="V174" s="1360"/>
      <c r="W174" s="1360"/>
      <c r="X174" s="1360"/>
      <c r="Y174" s="1360"/>
      <c r="Z174" s="1360"/>
      <c r="AA174" s="1360"/>
      <c r="AB174" s="1360"/>
      <c r="AC174" s="1360"/>
      <c r="AD174" s="1360"/>
      <c r="AE174" s="1360"/>
    </row>
    <row r="175" spans="12:31" hidden="1" x14ac:dyDescent="0.2">
      <c r="L175" s="32"/>
      <c r="M175" s="32"/>
      <c r="N175" s="32"/>
      <c r="T175" s="32"/>
      <c r="U175" s="32"/>
      <c r="V175" s="1360"/>
      <c r="W175" s="1360"/>
      <c r="X175" s="1360"/>
      <c r="Y175" s="1360"/>
      <c r="Z175" s="1360"/>
      <c r="AA175" s="1360"/>
      <c r="AB175" s="1360"/>
      <c r="AC175" s="1360"/>
      <c r="AD175" s="1360"/>
      <c r="AE175" s="1360"/>
    </row>
    <row r="176" spans="12:31" hidden="1" x14ac:dyDescent="0.2">
      <c r="V176" s="1360"/>
      <c r="W176" s="1360"/>
      <c r="X176" s="1360"/>
      <c r="Y176" s="1360"/>
      <c r="Z176" s="1360"/>
      <c r="AA176" s="1360"/>
      <c r="AB176" s="1360"/>
      <c r="AC176" s="1360"/>
      <c r="AD176" s="1360"/>
      <c r="AE176" s="1360"/>
    </row>
    <row r="177" spans="22:31" hidden="1" x14ac:dyDescent="0.2">
      <c r="V177" s="1360"/>
      <c r="W177" s="1360"/>
      <c r="X177" s="1360"/>
      <c r="Y177" s="1360"/>
      <c r="Z177" s="1360"/>
      <c r="AA177" s="1360"/>
      <c r="AB177" s="1360"/>
      <c r="AC177" s="1360"/>
      <c r="AD177" s="1360"/>
      <c r="AE177" s="1360"/>
    </row>
    <row r="178" spans="22:31" hidden="1" x14ac:dyDescent="0.2">
      <c r="V178" s="1360"/>
      <c r="W178" s="1360"/>
      <c r="X178" s="1360"/>
      <c r="Y178" s="1360"/>
      <c r="Z178" s="1360"/>
      <c r="AA178" s="1360"/>
      <c r="AB178" s="1360"/>
      <c r="AC178" s="1360"/>
      <c r="AD178" s="1360"/>
      <c r="AE178" s="1360"/>
    </row>
    <row r="179" spans="22:31" hidden="1" x14ac:dyDescent="0.2">
      <c r="V179" s="1360"/>
      <c r="W179" s="1360"/>
      <c r="X179" s="1360"/>
      <c r="Y179" s="1360"/>
      <c r="Z179" s="1360"/>
      <c r="AA179" s="1360"/>
      <c r="AB179" s="1360"/>
      <c r="AC179" s="1360"/>
      <c r="AD179" s="1360"/>
      <c r="AE179" s="1360"/>
    </row>
    <row r="180" spans="22:31" hidden="1" x14ac:dyDescent="0.2">
      <c r="V180" s="1360"/>
      <c r="W180" s="1360"/>
      <c r="X180" s="1360"/>
      <c r="Y180" s="1360"/>
      <c r="Z180" s="1360"/>
      <c r="AA180" s="1360"/>
      <c r="AB180" s="1360"/>
      <c r="AC180" s="1360"/>
      <c r="AD180" s="1360"/>
      <c r="AE180" s="1360"/>
    </row>
    <row r="181" spans="22:31" hidden="1" x14ac:dyDescent="0.2">
      <c r="V181" s="1360"/>
      <c r="W181" s="1360"/>
      <c r="X181" s="1360"/>
      <c r="Y181" s="1360"/>
      <c r="Z181" s="1360"/>
      <c r="AA181" s="1360"/>
      <c r="AB181" s="1360"/>
      <c r="AC181" s="1360"/>
      <c r="AD181" s="1360"/>
      <c r="AE181" s="1360"/>
    </row>
    <row r="182" spans="22:31" hidden="1" x14ac:dyDescent="0.2">
      <c r="V182" s="1360"/>
      <c r="W182" s="1360"/>
      <c r="X182" s="1360"/>
      <c r="Y182" s="1360"/>
      <c r="Z182" s="1360"/>
      <c r="AA182" s="1360"/>
      <c r="AB182" s="1360"/>
      <c r="AC182" s="1360"/>
      <c r="AD182" s="1360"/>
      <c r="AE182" s="1360"/>
    </row>
    <row r="183" spans="22:31" hidden="1" x14ac:dyDescent="0.2">
      <c r="V183" s="1360"/>
      <c r="W183" s="1360"/>
      <c r="X183" s="1360"/>
      <c r="Y183" s="1360"/>
      <c r="Z183" s="1360"/>
      <c r="AA183" s="1360"/>
      <c r="AB183" s="1360"/>
      <c r="AC183" s="1360"/>
      <c r="AD183" s="1360"/>
      <c r="AE183" s="1360"/>
    </row>
    <row r="184" spans="22:31" hidden="1" x14ac:dyDescent="0.2">
      <c r="V184" s="1360"/>
      <c r="W184" s="1360"/>
      <c r="X184" s="1360"/>
      <c r="Y184" s="1360"/>
      <c r="Z184" s="1360"/>
      <c r="AA184" s="1360"/>
      <c r="AB184" s="1360"/>
      <c r="AC184" s="1360"/>
      <c r="AD184" s="1360"/>
      <c r="AE184" s="1360"/>
    </row>
    <row r="185" spans="22:31" hidden="1" x14ac:dyDescent="0.2">
      <c r="V185" s="1360"/>
      <c r="W185" s="1360"/>
      <c r="X185" s="1360"/>
      <c r="Y185" s="1360"/>
      <c r="Z185" s="1360"/>
      <c r="AA185" s="1360"/>
      <c r="AB185" s="1360"/>
      <c r="AC185" s="1360"/>
      <c r="AD185" s="1360"/>
      <c r="AE185" s="1360"/>
    </row>
    <row r="186" spans="22:31" hidden="1" x14ac:dyDescent="0.2">
      <c r="V186" s="1360"/>
      <c r="W186" s="1360"/>
      <c r="X186" s="1360"/>
      <c r="Y186" s="1360"/>
      <c r="Z186" s="1360"/>
      <c r="AA186" s="1360"/>
      <c r="AB186" s="1360"/>
      <c r="AC186" s="1360"/>
      <c r="AD186" s="1360"/>
      <c r="AE186" s="1360"/>
    </row>
    <row r="187" spans="22:31" hidden="1" x14ac:dyDescent="0.2">
      <c r="V187" s="1360"/>
      <c r="W187" s="1360"/>
      <c r="X187" s="1360"/>
      <c r="Y187" s="1360"/>
      <c r="Z187" s="1360"/>
      <c r="AA187" s="1360"/>
      <c r="AB187" s="1360"/>
      <c r="AC187" s="1360"/>
      <c r="AD187" s="1360"/>
      <c r="AE187" s="1360"/>
    </row>
    <row r="188" spans="22:31" hidden="1" x14ac:dyDescent="0.2">
      <c r="V188" s="1360"/>
      <c r="W188" s="1360"/>
      <c r="X188" s="1360"/>
      <c r="Y188" s="1360"/>
      <c r="Z188" s="1360"/>
      <c r="AA188" s="1360"/>
      <c r="AB188" s="1360"/>
      <c r="AC188" s="1360"/>
      <c r="AD188" s="1360"/>
      <c r="AE188" s="1360"/>
    </row>
    <row r="189" spans="22:31" hidden="1" x14ac:dyDescent="0.2">
      <c r="V189" s="1360"/>
      <c r="W189" s="1360"/>
      <c r="X189" s="1360"/>
      <c r="Y189" s="1360"/>
      <c r="Z189" s="1360"/>
      <c r="AA189" s="1360"/>
      <c r="AB189" s="1360"/>
      <c r="AC189" s="1360"/>
      <c r="AD189" s="1360"/>
      <c r="AE189" s="1360"/>
    </row>
    <row r="190" spans="22:31" hidden="1" x14ac:dyDescent="0.2">
      <c r="V190" s="1360"/>
      <c r="W190" s="1360"/>
      <c r="X190" s="1360"/>
      <c r="Y190" s="1360"/>
      <c r="Z190" s="1360"/>
      <c r="AA190" s="1360"/>
      <c r="AB190" s="1360"/>
      <c r="AC190" s="1360"/>
      <c r="AD190" s="1360"/>
      <c r="AE190" s="1360"/>
    </row>
    <row r="191" spans="22:31" hidden="1" x14ac:dyDescent="0.2">
      <c r="V191" s="1360"/>
      <c r="W191" s="1360"/>
      <c r="X191" s="1360"/>
      <c r="Y191" s="1360"/>
      <c r="Z191" s="1360"/>
      <c r="AA191" s="1360"/>
      <c r="AB191" s="1360"/>
      <c r="AC191" s="1360"/>
      <c r="AD191" s="1360"/>
      <c r="AE191" s="1360"/>
    </row>
    <row r="192" spans="22:31" hidden="1" x14ac:dyDescent="0.2">
      <c r="V192" s="1360"/>
      <c r="W192" s="1360"/>
      <c r="X192" s="1360"/>
      <c r="Y192" s="1360"/>
      <c r="Z192" s="1360"/>
      <c r="AA192" s="1360"/>
      <c r="AB192" s="1360"/>
      <c r="AC192" s="1360"/>
      <c r="AD192" s="1360"/>
      <c r="AE192" s="1360"/>
    </row>
    <row r="193" spans="22:31" hidden="1" x14ac:dyDescent="0.2">
      <c r="V193" s="1360"/>
      <c r="W193" s="1360"/>
      <c r="X193" s="1360"/>
      <c r="Y193" s="1360"/>
      <c r="Z193" s="1360"/>
      <c r="AA193" s="1360"/>
      <c r="AB193" s="1360"/>
      <c r="AC193" s="1360"/>
      <c r="AD193" s="1360"/>
      <c r="AE193" s="1360"/>
    </row>
    <row r="194" spans="22:31" hidden="1" x14ac:dyDescent="0.2">
      <c r="V194" s="1360"/>
      <c r="W194" s="1360"/>
      <c r="X194" s="1360"/>
      <c r="Y194" s="1360"/>
      <c r="Z194" s="1360"/>
      <c r="AA194" s="1360"/>
      <c r="AB194" s="1360"/>
      <c r="AC194" s="1360"/>
      <c r="AD194" s="1360"/>
      <c r="AE194" s="1360"/>
    </row>
    <row r="195" spans="22:31" hidden="1" x14ac:dyDescent="0.2">
      <c r="V195" s="1360"/>
      <c r="W195" s="1360"/>
      <c r="X195" s="1360"/>
      <c r="Y195" s="1360"/>
      <c r="Z195" s="1360"/>
      <c r="AA195" s="1360"/>
      <c r="AB195" s="1360"/>
      <c r="AC195" s="1360"/>
      <c r="AD195" s="1360"/>
      <c r="AE195" s="1360"/>
    </row>
    <row r="196" spans="22:31" hidden="1" x14ac:dyDescent="0.2">
      <c r="V196" s="1360"/>
      <c r="W196" s="1360"/>
      <c r="X196" s="1360"/>
      <c r="Y196" s="1360"/>
      <c r="Z196" s="1360"/>
      <c r="AA196" s="1360"/>
      <c r="AB196" s="1360"/>
      <c r="AC196" s="1360"/>
      <c r="AD196" s="1360"/>
      <c r="AE196" s="1360"/>
    </row>
    <row r="197" spans="22:31" hidden="1" x14ac:dyDescent="0.2">
      <c r="V197" s="1360"/>
      <c r="W197" s="1360"/>
      <c r="X197" s="1360"/>
      <c r="Y197" s="1360"/>
      <c r="Z197" s="1360"/>
      <c r="AA197" s="1360"/>
      <c r="AB197" s="1360"/>
      <c r="AC197" s="1360"/>
      <c r="AD197" s="1360"/>
      <c r="AE197" s="1360"/>
    </row>
    <row r="198" spans="22:31" hidden="1" x14ac:dyDescent="0.2">
      <c r="V198" s="1360"/>
      <c r="W198" s="1360"/>
      <c r="X198" s="1360"/>
      <c r="Y198" s="1360"/>
      <c r="Z198" s="1360"/>
      <c r="AA198" s="1360"/>
      <c r="AB198" s="1360"/>
      <c r="AC198" s="1360"/>
      <c r="AD198" s="1360"/>
      <c r="AE198" s="1360"/>
    </row>
    <row r="199" spans="22:31" hidden="1" x14ac:dyDescent="0.2">
      <c r="V199" s="1360"/>
      <c r="W199" s="1360"/>
      <c r="X199" s="1360"/>
      <c r="Y199" s="1360"/>
      <c r="Z199" s="1360"/>
      <c r="AA199" s="1360"/>
      <c r="AB199" s="1360"/>
      <c r="AC199" s="1360"/>
      <c r="AD199" s="1360"/>
      <c r="AE199" s="1360"/>
    </row>
    <row r="200" spans="22:31" hidden="1" x14ac:dyDescent="0.2">
      <c r="V200" s="1360"/>
      <c r="W200" s="1360"/>
      <c r="X200" s="1360"/>
      <c r="Y200" s="1360"/>
      <c r="Z200" s="1360"/>
      <c r="AA200" s="1360"/>
      <c r="AB200" s="1360"/>
      <c r="AC200" s="1360"/>
      <c r="AD200" s="1360"/>
      <c r="AE200" s="1360"/>
    </row>
    <row r="201" spans="22:31" hidden="1" x14ac:dyDescent="0.2">
      <c r="V201" s="1360"/>
      <c r="W201" s="1360"/>
      <c r="X201" s="1360"/>
      <c r="Y201" s="1360"/>
      <c r="Z201" s="1360"/>
      <c r="AA201" s="1360"/>
      <c r="AB201" s="1360"/>
      <c r="AC201" s="1360"/>
      <c r="AD201" s="1360"/>
      <c r="AE201" s="1360"/>
    </row>
    <row r="202" spans="22:31" hidden="1" x14ac:dyDescent="0.2">
      <c r="V202" s="1360"/>
      <c r="W202" s="1360"/>
      <c r="X202" s="1360"/>
      <c r="Y202" s="1360"/>
      <c r="Z202" s="1360"/>
      <c r="AA202" s="1360"/>
      <c r="AB202" s="1360"/>
      <c r="AC202" s="1360"/>
      <c r="AD202" s="1360"/>
      <c r="AE202" s="1360"/>
    </row>
    <row r="203" spans="22:31" hidden="1" x14ac:dyDescent="0.2">
      <c r="V203" s="1360"/>
      <c r="W203" s="1360"/>
      <c r="X203" s="1360"/>
      <c r="Y203" s="1360"/>
      <c r="Z203" s="1360"/>
      <c r="AA203" s="1360"/>
      <c r="AB203" s="1360"/>
      <c r="AC203" s="1360"/>
      <c r="AD203" s="1360"/>
      <c r="AE203" s="1360"/>
    </row>
    <row r="204" spans="22:31" hidden="1" x14ac:dyDescent="0.2">
      <c r="V204" s="1360"/>
      <c r="W204" s="1360"/>
      <c r="X204" s="1360"/>
      <c r="Y204" s="1360"/>
      <c r="Z204" s="1360"/>
      <c r="AA204" s="1360"/>
      <c r="AB204" s="1360"/>
      <c r="AC204" s="1360"/>
      <c r="AD204" s="1360"/>
      <c r="AE204" s="1360"/>
    </row>
    <row r="205" spans="22:31" hidden="1" x14ac:dyDescent="0.2">
      <c r="V205" s="1360"/>
      <c r="W205" s="1360"/>
      <c r="X205" s="1360"/>
      <c r="Y205" s="1360"/>
      <c r="Z205" s="1360"/>
      <c r="AA205" s="1360"/>
      <c r="AB205" s="1360"/>
      <c r="AC205" s="1360"/>
      <c r="AD205" s="1360"/>
      <c r="AE205" s="1360"/>
    </row>
    <row r="206" spans="22:31" hidden="1" x14ac:dyDescent="0.2">
      <c r="V206" s="1360"/>
      <c r="W206" s="1360"/>
      <c r="X206" s="1360"/>
      <c r="Y206" s="1360"/>
      <c r="Z206" s="1360"/>
      <c r="AA206" s="1360"/>
      <c r="AB206" s="1360"/>
      <c r="AC206" s="1360"/>
      <c r="AD206" s="1360"/>
      <c r="AE206" s="1360"/>
    </row>
    <row r="207" spans="22:31" hidden="1" x14ac:dyDescent="0.2">
      <c r="V207" s="1360"/>
      <c r="W207" s="1360"/>
      <c r="X207" s="1360"/>
      <c r="Y207" s="1360"/>
      <c r="Z207" s="1360"/>
      <c r="AA207" s="1360"/>
      <c r="AB207" s="1360"/>
      <c r="AC207" s="1360"/>
      <c r="AD207" s="1360"/>
      <c r="AE207" s="1360"/>
    </row>
    <row r="208" spans="22:31" hidden="1" x14ac:dyDescent="0.2">
      <c r="V208" s="1360"/>
      <c r="W208" s="1360"/>
      <c r="X208" s="1360"/>
      <c r="Y208" s="1360"/>
      <c r="Z208" s="1360"/>
      <c r="AA208" s="1360"/>
      <c r="AB208" s="1360"/>
      <c r="AC208" s="1360"/>
      <c r="AD208" s="1360"/>
      <c r="AE208" s="1360"/>
    </row>
    <row r="209" spans="22:31" hidden="1" x14ac:dyDescent="0.2">
      <c r="V209" s="1360"/>
      <c r="W209" s="1360"/>
      <c r="X209" s="1360"/>
      <c r="Y209" s="1360"/>
      <c r="Z209" s="1360"/>
      <c r="AA209" s="1360"/>
      <c r="AB209" s="1360"/>
      <c r="AC209" s="1360"/>
      <c r="AD209" s="1360"/>
      <c r="AE209" s="1360"/>
    </row>
    <row r="210" spans="22:31" hidden="1" x14ac:dyDescent="0.2">
      <c r="V210" s="1360"/>
      <c r="W210" s="1360"/>
      <c r="X210" s="1360"/>
      <c r="Y210" s="1360"/>
      <c r="Z210" s="1360"/>
      <c r="AA210" s="1360"/>
      <c r="AB210" s="1360"/>
      <c r="AC210" s="1360"/>
      <c r="AD210" s="1360"/>
      <c r="AE210" s="1360"/>
    </row>
    <row r="211" spans="22:31" hidden="1" x14ac:dyDescent="0.2">
      <c r="V211" s="1360"/>
      <c r="W211" s="1360"/>
      <c r="X211" s="1360"/>
      <c r="Y211" s="1360"/>
      <c r="Z211" s="1360"/>
      <c r="AA211" s="1360"/>
      <c r="AB211" s="1360"/>
      <c r="AC211" s="1360"/>
      <c r="AD211" s="1360"/>
      <c r="AE211" s="1360"/>
    </row>
    <row r="212" spans="22:31" hidden="1" x14ac:dyDescent="0.2">
      <c r="V212" s="1360"/>
      <c r="W212" s="1360"/>
      <c r="X212" s="1360"/>
      <c r="Y212" s="1360"/>
      <c r="Z212" s="1360"/>
      <c r="AA212" s="1360"/>
      <c r="AB212" s="1360"/>
      <c r="AC212" s="1360"/>
      <c r="AD212" s="1360"/>
      <c r="AE212" s="1360"/>
    </row>
    <row r="213" spans="22:31" hidden="1" x14ac:dyDescent="0.2">
      <c r="V213" s="1360"/>
      <c r="W213" s="1360"/>
      <c r="X213" s="1360"/>
      <c r="Y213" s="1360"/>
      <c r="Z213" s="1360"/>
      <c r="AA213" s="1360"/>
      <c r="AB213" s="1360"/>
      <c r="AC213" s="1360"/>
      <c r="AD213" s="1360"/>
      <c r="AE213" s="1360"/>
    </row>
    <row r="214" spans="22:31" hidden="1" x14ac:dyDescent="0.2">
      <c r="V214" s="1360"/>
      <c r="W214" s="1360"/>
      <c r="X214" s="1360"/>
      <c r="Y214" s="1360"/>
      <c r="Z214" s="1360"/>
      <c r="AA214" s="1360"/>
      <c r="AB214" s="1360"/>
      <c r="AC214" s="1360"/>
      <c r="AD214" s="1360"/>
      <c r="AE214" s="1360"/>
    </row>
    <row r="215" spans="22:31" hidden="1" x14ac:dyDescent="0.2">
      <c r="V215" s="1360"/>
      <c r="W215" s="1360"/>
      <c r="X215" s="1360"/>
      <c r="Y215" s="1360"/>
      <c r="Z215" s="1360"/>
      <c r="AA215" s="1360"/>
      <c r="AB215" s="1360"/>
      <c r="AC215" s="1360"/>
      <c r="AD215" s="1360"/>
      <c r="AE215" s="1360"/>
    </row>
    <row r="216" spans="22:31" hidden="1" x14ac:dyDescent="0.2">
      <c r="V216" s="1360"/>
      <c r="W216" s="1360"/>
      <c r="X216" s="1360"/>
      <c r="Y216" s="1360"/>
      <c r="Z216" s="1360"/>
      <c r="AA216" s="1360"/>
      <c r="AB216" s="1360"/>
      <c r="AC216" s="1360"/>
      <c r="AD216" s="1360"/>
      <c r="AE216" s="1360"/>
    </row>
    <row r="217" spans="22:31" hidden="1" x14ac:dyDescent="0.2">
      <c r="V217" s="1360"/>
      <c r="W217" s="1360"/>
      <c r="X217" s="1360"/>
      <c r="Y217" s="1360"/>
      <c r="Z217" s="1360"/>
      <c r="AA217" s="1360"/>
      <c r="AB217" s="1360"/>
      <c r="AC217" s="1360"/>
      <c r="AD217" s="1360"/>
      <c r="AE217" s="1360"/>
    </row>
    <row r="218" spans="22:31" hidden="1" x14ac:dyDescent="0.2">
      <c r="V218" s="1360"/>
      <c r="W218" s="1360"/>
      <c r="X218" s="1360"/>
      <c r="Y218" s="1360"/>
      <c r="Z218" s="1360"/>
      <c r="AA218" s="1360"/>
      <c r="AB218" s="1360"/>
      <c r="AC218" s="1360"/>
      <c r="AD218" s="1360"/>
      <c r="AE218" s="1360"/>
    </row>
    <row r="219" spans="22:31" hidden="1" x14ac:dyDescent="0.2">
      <c r="V219" s="1360"/>
      <c r="W219" s="1360"/>
      <c r="X219" s="1360"/>
      <c r="Y219" s="1360"/>
      <c r="Z219" s="1360"/>
      <c r="AA219" s="1360"/>
      <c r="AB219" s="1360"/>
      <c r="AC219" s="1360"/>
      <c r="AD219" s="1360"/>
      <c r="AE219" s="1360"/>
    </row>
    <row r="220" spans="22:31" hidden="1" x14ac:dyDescent="0.2">
      <c r="V220" s="1360"/>
      <c r="W220" s="1360"/>
      <c r="X220" s="1360"/>
      <c r="Y220" s="1360"/>
      <c r="Z220" s="1360"/>
      <c r="AA220" s="1360"/>
      <c r="AB220" s="1360"/>
      <c r="AC220" s="1360"/>
      <c r="AD220" s="1360"/>
      <c r="AE220" s="1360"/>
    </row>
    <row r="221" spans="22:31" hidden="1" x14ac:dyDescent="0.2">
      <c r="V221" s="1360"/>
      <c r="W221" s="1360"/>
      <c r="X221" s="1360"/>
      <c r="Y221" s="1360"/>
      <c r="Z221" s="1360"/>
      <c r="AA221" s="1360"/>
      <c r="AB221" s="1360"/>
      <c r="AC221" s="1360"/>
      <c r="AD221" s="1360"/>
      <c r="AE221" s="1360"/>
    </row>
    <row r="222" spans="22:31" hidden="1" x14ac:dyDescent="0.2">
      <c r="V222" s="1360"/>
      <c r="W222" s="1360"/>
      <c r="X222" s="1360"/>
      <c r="Y222" s="1360"/>
      <c r="Z222" s="1360"/>
      <c r="AA222" s="1360"/>
      <c r="AB222" s="1360"/>
      <c r="AC222" s="1360"/>
      <c r="AD222" s="1360"/>
      <c r="AE222" s="1360"/>
    </row>
    <row r="223" spans="22:31" hidden="1" x14ac:dyDescent="0.2">
      <c r="V223" s="1360"/>
      <c r="W223" s="1360"/>
      <c r="X223" s="1360"/>
      <c r="Y223" s="1360"/>
      <c r="Z223" s="1360"/>
      <c r="AA223" s="1360"/>
      <c r="AB223" s="1360"/>
      <c r="AC223" s="1360"/>
      <c r="AD223" s="1360"/>
      <c r="AE223" s="1360"/>
    </row>
    <row r="224" spans="22:31" hidden="1" x14ac:dyDescent="0.2">
      <c r="V224" s="1360"/>
      <c r="W224" s="1360"/>
      <c r="X224" s="1360"/>
      <c r="Y224" s="1360"/>
      <c r="Z224" s="1360"/>
      <c r="AA224" s="1360"/>
      <c r="AB224" s="1360"/>
      <c r="AC224" s="1360"/>
      <c r="AD224" s="1360"/>
      <c r="AE224" s="1360"/>
    </row>
    <row r="225" spans="22:31" hidden="1" x14ac:dyDescent="0.2">
      <c r="V225" s="1360"/>
      <c r="W225" s="1360"/>
      <c r="X225" s="1360"/>
      <c r="Y225" s="1360"/>
      <c r="Z225" s="1360"/>
      <c r="AA225" s="1360"/>
      <c r="AB225" s="1360"/>
      <c r="AC225" s="1360"/>
      <c r="AD225" s="1360"/>
      <c r="AE225" s="1360"/>
    </row>
    <row r="226" spans="22:31" hidden="1" x14ac:dyDescent="0.2">
      <c r="V226" s="1360"/>
      <c r="W226" s="1360"/>
      <c r="X226" s="1360"/>
      <c r="Y226" s="1360"/>
      <c r="Z226" s="1360"/>
      <c r="AA226" s="1360"/>
      <c r="AB226" s="1360"/>
      <c r="AC226" s="1360"/>
      <c r="AD226" s="1360"/>
      <c r="AE226" s="1360"/>
    </row>
    <row r="227" spans="22:31" hidden="1" x14ac:dyDescent="0.2">
      <c r="V227" s="1360"/>
      <c r="W227" s="1360"/>
      <c r="X227" s="1360"/>
      <c r="Y227" s="1360"/>
      <c r="Z227" s="1360"/>
      <c r="AA227" s="1360"/>
      <c r="AB227" s="1360"/>
      <c r="AC227" s="1360"/>
      <c r="AD227" s="1360"/>
      <c r="AE227" s="1360"/>
    </row>
    <row r="228" spans="22:31" hidden="1" x14ac:dyDescent="0.2">
      <c r="V228" s="1360"/>
      <c r="W228" s="1360"/>
      <c r="X228" s="1360"/>
      <c r="Y228" s="1360"/>
      <c r="Z228" s="1360"/>
      <c r="AA228" s="1360"/>
      <c r="AB228" s="1360"/>
      <c r="AC228" s="1360"/>
      <c r="AD228" s="1360"/>
      <c r="AE228" s="1360"/>
    </row>
    <row r="229" spans="22:31" hidden="1" x14ac:dyDescent="0.2">
      <c r="V229" s="1360"/>
      <c r="W229" s="1360"/>
      <c r="X229" s="1360"/>
      <c r="Y229" s="1360"/>
      <c r="Z229" s="1360"/>
      <c r="AA229" s="1360"/>
      <c r="AB229" s="1360"/>
      <c r="AC229" s="1360"/>
      <c r="AD229" s="1360"/>
      <c r="AE229" s="1360"/>
    </row>
    <row r="230" spans="22:31" hidden="1" x14ac:dyDescent="0.2">
      <c r="V230" s="1360"/>
      <c r="W230" s="1360"/>
      <c r="X230" s="1360"/>
      <c r="Y230" s="1360"/>
      <c r="Z230" s="1360"/>
      <c r="AA230" s="1360"/>
      <c r="AB230" s="1360"/>
      <c r="AC230" s="1360"/>
      <c r="AD230" s="1360"/>
      <c r="AE230" s="1360"/>
    </row>
    <row r="231" spans="22:31" hidden="1" x14ac:dyDescent="0.2">
      <c r="V231" s="1360"/>
      <c r="W231" s="1360"/>
      <c r="X231" s="1360"/>
      <c r="Y231" s="1360"/>
      <c r="Z231" s="1360"/>
      <c r="AA231" s="1360"/>
      <c r="AB231" s="1360"/>
      <c r="AC231" s="1360"/>
      <c r="AD231" s="1360"/>
      <c r="AE231" s="1360"/>
    </row>
    <row r="232" spans="22:31" hidden="1" x14ac:dyDescent="0.2">
      <c r="V232" s="1360"/>
      <c r="W232" s="1360"/>
      <c r="X232" s="1360"/>
      <c r="Y232" s="1360"/>
      <c r="Z232" s="1360"/>
      <c r="AA232" s="1360"/>
      <c r="AB232" s="1360"/>
      <c r="AC232" s="1360"/>
      <c r="AD232" s="1360"/>
      <c r="AE232" s="1360"/>
    </row>
    <row r="233" spans="22:31" hidden="1" x14ac:dyDescent="0.2">
      <c r="V233" s="1360"/>
      <c r="W233" s="1360"/>
      <c r="X233" s="1360"/>
      <c r="Y233" s="1360"/>
      <c r="Z233" s="1360"/>
      <c r="AA233" s="1360"/>
      <c r="AB233" s="1360"/>
      <c r="AC233" s="1360"/>
      <c r="AD233" s="1360"/>
      <c r="AE233" s="1360"/>
    </row>
    <row r="234" spans="22:31" hidden="1" x14ac:dyDescent="0.2">
      <c r="V234" s="1360"/>
      <c r="W234" s="1360"/>
      <c r="X234" s="1360"/>
      <c r="Y234" s="1360"/>
      <c r="Z234" s="1360"/>
      <c r="AA234" s="1360"/>
      <c r="AB234" s="1360"/>
      <c r="AC234" s="1360"/>
      <c r="AD234" s="1360"/>
      <c r="AE234" s="1360"/>
    </row>
    <row r="235" spans="22:31" hidden="1" x14ac:dyDescent="0.2">
      <c r="V235" s="1360"/>
      <c r="W235" s="1360"/>
      <c r="X235" s="1360"/>
      <c r="Y235" s="1360"/>
      <c r="Z235" s="1360"/>
      <c r="AA235" s="1360"/>
      <c r="AB235" s="1360"/>
      <c r="AC235" s="1360"/>
      <c r="AD235" s="1360"/>
      <c r="AE235" s="1360"/>
    </row>
    <row r="236" spans="22:31" hidden="1" x14ac:dyDescent="0.2">
      <c r="V236" s="1360"/>
      <c r="W236" s="1360"/>
      <c r="X236" s="1360"/>
      <c r="Y236" s="1360"/>
      <c r="Z236" s="1360"/>
      <c r="AA236" s="1360"/>
      <c r="AB236" s="1360"/>
      <c r="AC236" s="1360"/>
      <c r="AD236" s="1360"/>
      <c r="AE236" s="1360"/>
    </row>
    <row r="237" spans="22:31" hidden="1" x14ac:dyDescent="0.2">
      <c r="V237" s="1360"/>
      <c r="W237" s="1360"/>
      <c r="X237" s="1360"/>
      <c r="Y237" s="1360"/>
      <c r="Z237" s="1360"/>
      <c r="AA237" s="1360"/>
      <c r="AB237" s="1360"/>
      <c r="AC237" s="1360"/>
      <c r="AD237" s="1360"/>
      <c r="AE237" s="1360"/>
    </row>
    <row r="238" spans="22:31" hidden="1" x14ac:dyDescent="0.2">
      <c r="V238" s="1360"/>
      <c r="W238" s="1360"/>
      <c r="X238" s="1360"/>
      <c r="Y238" s="1360"/>
      <c r="Z238" s="1360"/>
      <c r="AA238" s="1360"/>
      <c r="AB238" s="1360"/>
      <c r="AC238" s="1360"/>
      <c r="AD238" s="1360"/>
      <c r="AE238" s="1360"/>
    </row>
    <row r="239" spans="22:31" hidden="1" x14ac:dyDescent="0.2">
      <c r="V239" s="1360"/>
      <c r="W239" s="1360"/>
      <c r="X239" s="1360"/>
      <c r="Y239" s="1360"/>
      <c r="Z239" s="1360"/>
      <c r="AA239" s="1360"/>
      <c r="AB239" s="1360"/>
      <c r="AC239" s="1360"/>
      <c r="AD239" s="1360"/>
      <c r="AE239" s="1360"/>
    </row>
    <row r="240" spans="22:31" hidden="1" x14ac:dyDescent="0.2">
      <c r="V240" s="1360"/>
      <c r="W240" s="1360"/>
      <c r="X240" s="1360"/>
      <c r="Y240" s="1360"/>
      <c r="Z240" s="1360"/>
      <c r="AA240" s="1360"/>
      <c r="AB240" s="1360"/>
      <c r="AC240" s="1360"/>
      <c r="AD240" s="1360"/>
      <c r="AE240" s="1360"/>
    </row>
    <row r="241" spans="22:31" hidden="1" x14ac:dyDescent="0.2">
      <c r="V241" s="1360"/>
      <c r="W241" s="1360"/>
      <c r="X241" s="1360"/>
      <c r="Y241" s="1360"/>
      <c r="Z241" s="1360"/>
      <c r="AA241" s="1360"/>
      <c r="AB241" s="1360"/>
      <c r="AC241" s="1360"/>
      <c r="AD241" s="1360"/>
      <c r="AE241" s="1360"/>
    </row>
    <row r="242" spans="22:31" hidden="1" x14ac:dyDescent="0.2">
      <c r="V242" s="1360"/>
      <c r="W242" s="1360"/>
      <c r="X242" s="1360"/>
      <c r="Y242" s="1360"/>
      <c r="Z242" s="1360"/>
      <c r="AA242" s="1360"/>
      <c r="AB242" s="1360"/>
      <c r="AC242" s="1360"/>
      <c r="AD242" s="1360"/>
      <c r="AE242" s="1360"/>
    </row>
    <row r="243" spans="22:31" hidden="1" x14ac:dyDescent="0.2">
      <c r="V243" s="1360"/>
      <c r="W243" s="1360"/>
      <c r="X243" s="1360"/>
      <c r="Y243" s="1360"/>
      <c r="Z243" s="1360"/>
      <c r="AA243" s="1360"/>
      <c r="AB243" s="1360"/>
      <c r="AC243" s="1360"/>
      <c r="AD243" s="1360"/>
      <c r="AE243" s="1360"/>
    </row>
    <row r="244" spans="22:31" hidden="1" x14ac:dyDescent="0.2">
      <c r="V244" s="1360"/>
      <c r="W244" s="1360"/>
      <c r="X244" s="1360"/>
      <c r="Y244" s="1360"/>
      <c r="Z244" s="1360"/>
      <c r="AA244" s="1360"/>
      <c r="AB244" s="1360"/>
      <c r="AC244" s="1360"/>
      <c r="AD244" s="1360"/>
      <c r="AE244" s="1360"/>
    </row>
    <row r="245" spans="22:31" hidden="1" x14ac:dyDescent="0.2">
      <c r="V245" s="1360"/>
      <c r="W245" s="1360"/>
      <c r="X245" s="1360"/>
      <c r="Y245" s="1360"/>
      <c r="Z245" s="1360"/>
      <c r="AA245" s="1360"/>
      <c r="AB245" s="1360"/>
      <c r="AC245" s="1360"/>
      <c r="AD245" s="1360"/>
      <c r="AE245" s="1360"/>
    </row>
    <row r="246" spans="22:31" hidden="1" x14ac:dyDescent="0.2">
      <c r="V246" s="1360"/>
      <c r="W246" s="1360"/>
      <c r="X246" s="1360"/>
      <c r="Y246" s="1360"/>
      <c r="Z246" s="1360"/>
      <c r="AA246" s="1360"/>
      <c r="AB246" s="1360"/>
      <c r="AC246" s="1360"/>
      <c r="AD246" s="1360"/>
      <c r="AE246" s="1360"/>
    </row>
    <row r="247" spans="22:31" hidden="1" x14ac:dyDescent="0.2">
      <c r="V247" s="1360"/>
      <c r="W247" s="1360"/>
      <c r="X247" s="1360"/>
      <c r="Y247" s="1360"/>
      <c r="Z247" s="1360"/>
      <c r="AA247" s="1360"/>
      <c r="AB247" s="1360"/>
      <c r="AC247" s="1360"/>
      <c r="AD247" s="1360"/>
      <c r="AE247" s="1360"/>
    </row>
    <row r="248" spans="22:31" hidden="1" x14ac:dyDescent="0.2">
      <c r="V248" s="1360"/>
      <c r="W248" s="1360"/>
      <c r="X248" s="1360"/>
      <c r="Y248" s="1360"/>
      <c r="Z248" s="1360"/>
      <c r="AA248" s="1360"/>
      <c r="AB248" s="1360"/>
      <c r="AC248" s="1360"/>
      <c r="AD248" s="1360"/>
      <c r="AE248" s="1360"/>
    </row>
    <row r="249" spans="22:31" hidden="1" x14ac:dyDescent="0.2">
      <c r="V249" s="1360"/>
      <c r="W249" s="1360"/>
      <c r="X249" s="1360"/>
      <c r="Y249" s="1360"/>
      <c r="Z249" s="1360"/>
      <c r="AA249" s="1360"/>
      <c r="AB249" s="1360"/>
      <c r="AC249" s="1360"/>
      <c r="AD249" s="1360"/>
      <c r="AE249" s="1360"/>
    </row>
    <row r="250" spans="22:31" hidden="1" x14ac:dyDescent="0.2">
      <c r="V250" s="1360"/>
      <c r="W250" s="1360"/>
      <c r="X250" s="1360"/>
      <c r="Y250" s="1360"/>
      <c r="Z250" s="1360"/>
      <c r="AA250" s="1360"/>
      <c r="AB250" s="1360"/>
      <c r="AC250" s="1360"/>
      <c r="AD250" s="1360"/>
      <c r="AE250" s="1360"/>
    </row>
    <row r="251" spans="22:31" hidden="1" x14ac:dyDescent="0.2">
      <c r="V251" s="1360"/>
      <c r="W251" s="1360"/>
      <c r="X251" s="1360"/>
      <c r="Y251" s="1360"/>
      <c r="Z251" s="1360"/>
      <c r="AA251" s="1360"/>
      <c r="AB251" s="1360"/>
      <c r="AC251" s="1360"/>
      <c r="AD251" s="1360"/>
      <c r="AE251" s="1360"/>
    </row>
    <row r="252" spans="22:31" hidden="1" x14ac:dyDescent="0.2">
      <c r="V252" s="1360"/>
      <c r="W252" s="1360"/>
      <c r="X252" s="1360"/>
      <c r="Y252" s="1360"/>
      <c r="Z252" s="1360"/>
      <c r="AA252" s="1360"/>
      <c r="AB252" s="1360"/>
      <c r="AC252" s="1360"/>
      <c r="AD252" s="1360"/>
      <c r="AE252" s="1360"/>
    </row>
    <row r="253" spans="22:31" hidden="1" x14ac:dyDescent="0.2">
      <c r="V253" s="1360"/>
      <c r="W253" s="1360"/>
      <c r="X253" s="1360"/>
      <c r="Y253" s="1360"/>
      <c r="Z253" s="1360"/>
      <c r="AA253" s="1360"/>
      <c r="AB253" s="1360"/>
      <c r="AC253" s="1360"/>
      <c r="AD253" s="1360"/>
      <c r="AE253" s="1360"/>
    </row>
    <row r="254" spans="22:31" hidden="1" x14ac:dyDescent="0.2">
      <c r="V254" s="1360"/>
      <c r="W254" s="1360"/>
      <c r="X254" s="1360"/>
      <c r="Y254" s="1360"/>
      <c r="Z254" s="1360"/>
      <c r="AA254" s="1360"/>
      <c r="AB254" s="1360"/>
      <c r="AC254" s="1360"/>
      <c r="AD254" s="1360"/>
      <c r="AE254" s="1360"/>
    </row>
    <row r="255" spans="22:31" hidden="1" x14ac:dyDescent="0.2">
      <c r="V255" s="1360"/>
      <c r="W255" s="1360"/>
      <c r="X255" s="1360"/>
      <c r="Y255" s="1360"/>
      <c r="Z255" s="1360"/>
      <c r="AA255" s="1360"/>
      <c r="AB255" s="1360"/>
      <c r="AC255" s="1360"/>
      <c r="AD255" s="1360"/>
      <c r="AE255" s="1360"/>
    </row>
    <row r="256" spans="22:31" hidden="1" x14ac:dyDescent="0.2">
      <c r="V256" s="1360"/>
      <c r="W256" s="1360"/>
      <c r="X256" s="1360"/>
      <c r="Y256" s="1360"/>
      <c r="Z256" s="1360"/>
      <c r="AA256" s="1360"/>
      <c r="AB256" s="1360"/>
      <c r="AC256" s="1360"/>
      <c r="AD256" s="1360"/>
      <c r="AE256" s="1360"/>
    </row>
    <row r="257" spans="22:31" hidden="1" x14ac:dyDescent="0.2">
      <c r="V257" s="1360"/>
      <c r="W257" s="1360"/>
      <c r="X257" s="1360"/>
      <c r="Y257" s="1360"/>
      <c r="Z257" s="1360"/>
      <c r="AA257" s="1360"/>
      <c r="AB257" s="1360"/>
      <c r="AC257" s="1360"/>
      <c r="AD257" s="1360"/>
      <c r="AE257" s="1360"/>
    </row>
    <row r="258" spans="22:31" hidden="1" x14ac:dyDescent="0.2">
      <c r="V258" s="1360"/>
      <c r="W258" s="1360"/>
      <c r="X258" s="1360"/>
      <c r="Y258" s="1360"/>
      <c r="Z258" s="1360"/>
      <c r="AA258" s="1360"/>
      <c r="AB258" s="1360"/>
      <c r="AC258" s="1360"/>
      <c r="AD258" s="1360"/>
      <c r="AE258" s="1360"/>
    </row>
    <row r="259" spans="22:31" hidden="1" x14ac:dyDescent="0.2">
      <c r="V259" s="1360"/>
      <c r="W259" s="1360"/>
      <c r="X259" s="1360"/>
      <c r="Y259" s="1360"/>
      <c r="Z259" s="1360"/>
      <c r="AA259" s="1360"/>
      <c r="AB259" s="1360"/>
      <c r="AC259" s="1360"/>
      <c r="AD259" s="1360"/>
      <c r="AE259" s="1360"/>
    </row>
    <row r="260" spans="22:31" hidden="1" x14ac:dyDescent="0.2">
      <c r="V260" s="1360"/>
      <c r="W260" s="1360"/>
      <c r="X260" s="1360"/>
      <c r="Y260" s="1360"/>
      <c r="Z260" s="1360"/>
      <c r="AA260" s="1360"/>
      <c r="AB260" s="1360"/>
      <c r="AC260" s="1360"/>
      <c r="AD260" s="1360"/>
      <c r="AE260" s="1360"/>
    </row>
    <row r="261" spans="22:31" hidden="1" x14ac:dyDescent="0.2">
      <c r="V261" s="1360"/>
      <c r="W261" s="1360"/>
      <c r="X261" s="1360"/>
      <c r="Y261" s="1360"/>
      <c r="Z261" s="1360"/>
      <c r="AA261" s="1360"/>
      <c r="AB261" s="1360"/>
      <c r="AC261" s="1360"/>
      <c r="AD261" s="1360"/>
      <c r="AE261" s="1360"/>
    </row>
    <row r="262" spans="22:31" hidden="1" x14ac:dyDescent="0.2">
      <c r="V262" s="1360"/>
      <c r="W262" s="1360"/>
      <c r="X262" s="1360"/>
      <c r="Y262" s="1360"/>
      <c r="Z262" s="1360"/>
      <c r="AA262" s="1360"/>
      <c r="AB262" s="1360"/>
      <c r="AC262" s="1360"/>
      <c r="AD262" s="1360"/>
      <c r="AE262" s="1360"/>
    </row>
    <row r="263" spans="22:31" hidden="1" x14ac:dyDescent="0.2">
      <c r="V263" s="1360"/>
      <c r="W263" s="1360"/>
      <c r="X263" s="1360"/>
      <c r="Y263" s="1360"/>
      <c r="Z263" s="1360"/>
      <c r="AA263" s="1360"/>
      <c r="AB263" s="1360"/>
      <c r="AC263" s="1360"/>
      <c r="AD263" s="1360"/>
      <c r="AE263" s="1360"/>
    </row>
    <row r="264" spans="22:31" hidden="1" x14ac:dyDescent="0.2">
      <c r="V264" s="1360"/>
      <c r="W264" s="1360"/>
      <c r="X264" s="1360"/>
      <c r="Y264" s="1360"/>
      <c r="Z264" s="1360"/>
      <c r="AA264" s="1360"/>
      <c r="AB264" s="1360"/>
      <c r="AC264" s="1360"/>
      <c r="AD264" s="1360"/>
      <c r="AE264" s="1360"/>
    </row>
    <row r="265" spans="22:31" hidden="1" x14ac:dyDescent="0.2">
      <c r="V265" s="1360"/>
      <c r="W265" s="1360"/>
      <c r="X265" s="1360"/>
      <c r="Y265" s="1360"/>
      <c r="Z265" s="1360"/>
      <c r="AA265" s="1360"/>
      <c r="AB265" s="1360"/>
      <c r="AC265" s="1360"/>
      <c r="AD265" s="1360"/>
      <c r="AE265" s="1360"/>
    </row>
    <row r="266" spans="22:31" hidden="1" x14ac:dyDescent="0.2">
      <c r="V266" s="1360"/>
      <c r="W266" s="1360"/>
      <c r="X266" s="1360"/>
      <c r="Y266" s="1360"/>
      <c r="Z266" s="1360"/>
      <c r="AA266" s="1360"/>
      <c r="AB266" s="1360"/>
      <c r="AC266" s="1360"/>
      <c r="AD266" s="1360"/>
      <c r="AE266" s="1360"/>
    </row>
    <row r="267" spans="22:31" hidden="1" x14ac:dyDescent="0.2">
      <c r="V267" s="1360"/>
      <c r="W267" s="1360"/>
      <c r="X267" s="1360"/>
      <c r="Y267" s="1360"/>
      <c r="Z267" s="1360"/>
      <c r="AA267" s="1360"/>
      <c r="AB267" s="1360"/>
      <c r="AC267" s="1360"/>
      <c r="AD267" s="1360"/>
      <c r="AE267" s="1360"/>
    </row>
    <row r="268" spans="22:31" hidden="1" x14ac:dyDescent="0.2">
      <c r="V268" s="1360"/>
      <c r="W268" s="1360"/>
      <c r="X268" s="1360"/>
      <c r="Y268" s="1360"/>
      <c r="Z268" s="1360"/>
      <c r="AA268" s="1360"/>
      <c r="AB268" s="1360"/>
      <c r="AC268" s="1360"/>
      <c r="AD268" s="1360"/>
      <c r="AE268" s="1360"/>
    </row>
    <row r="269" spans="22:31" hidden="1" x14ac:dyDescent="0.2">
      <c r="V269" s="1360"/>
      <c r="W269" s="1360"/>
      <c r="X269" s="1360"/>
      <c r="Y269" s="1360"/>
      <c r="Z269" s="1360"/>
      <c r="AA269" s="1360"/>
      <c r="AB269" s="1360"/>
      <c r="AC269" s="1360"/>
      <c r="AD269" s="1360"/>
      <c r="AE269" s="1360"/>
    </row>
    <row r="270" spans="22:31" hidden="1" x14ac:dyDescent="0.2">
      <c r="V270" s="1360"/>
      <c r="W270" s="1360"/>
      <c r="X270" s="1360"/>
      <c r="Y270" s="1360"/>
      <c r="Z270" s="1360"/>
      <c r="AA270" s="1360"/>
      <c r="AB270" s="1360"/>
      <c r="AC270" s="1360"/>
      <c r="AD270" s="1360"/>
      <c r="AE270" s="1360"/>
    </row>
    <row r="271" spans="22:31" hidden="1" x14ac:dyDescent="0.2">
      <c r="V271" s="1360"/>
      <c r="W271" s="1360"/>
      <c r="X271" s="1360"/>
      <c r="Y271" s="1360"/>
      <c r="Z271" s="1360"/>
      <c r="AA271" s="1360"/>
      <c r="AB271" s="1360"/>
      <c r="AC271" s="1360"/>
      <c r="AD271" s="1360"/>
      <c r="AE271" s="1360"/>
    </row>
    <row r="272" spans="22:31" hidden="1" x14ac:dyDescent="0.2">
      <c r="V272" s="1360"/>
      <c r="W272" s="1360"/>
      <c r="X272" s="1360"/>
      <c r="Y272" s="1360"/>
      <c r="Z272" s="1360"/>
      <c r="AA272" s="1360"/>
      <c r="AB272" s="1360"/>
      <c r="AC272" s="1360"/>
      <c r="AD272" s="1360"/>
      <c r="AE272" s="1360"/>
    </row>
    <row r="273" spans="22:31" hidden="1" x14ac:dyDescent="0.2">
      <c r="V273" s="1360"/>
      <c r="W273" s="1360"/>
      <c r="X273" s="1360"/>
      <c r="Y273" s="1360"/>
      <c r="Z273" s="1360"/>
      <c r="AA273" s="1360"/>
      <c r="AB273" s="1360"/>
      <c r="AC273" s="1360"/>
      <c r="AD273" s="1360"/>
      <c r="AE273" s="1360"/>
    </row>
    <row r="274" spans="22:31" hidden="1" x14ac:dyDescent="0.2">
      <c r="V274" s="1360"/>
      <c r="W274" s="1360"/>
      <c r="X274" s="1360"/>
      <c r="Y274" s="1360"/>
      <c r="Z274" s="1360"/>
      <c r="AA274" s="1360"/>
      <c r="AB274" s="1360"/>
      <c r="AC274" s="1360"/>
      <c r="AD274" s="1360"/>
      <c r="AE274" s="1360"/>
    </row>
    <row r="275" spans="22:31" hidden="1" x14ac:dyDescent="0.2">
      <c r="V275" s="1360"/>
      <c r="W275" s="1360"/>
      <c r="X275" s="1360"/>
      <c r="Y275" s="1360"/>
      <c r="Z275" s="1360"/>
      <c r="AA275" s="1360"/>
      <c r="AB275" s="1360"/>
      <c r="AC275" s="1360"/>
      <c r="AD275" s="1360"/>
      <c r="AE275" s="1360"/>
    </row>
    <row r="276" spans="22:31" hidden="1" x14ac:dyDescent="0.2">
      <c r="V276" s="1360"/>
      <c r="W276" s="1360"/>
      <c r="X276" s="1360"/>
      <c r="Y276" s="1360"/>
      <c r="Z276" s="1360"/>
      <c r="AA276" s="1360"/>
      <c r="AB276" s="1360"/>
      <c r="AC276" s="1360"/>
      <c r="AD276" s="1360"/>
      <c r="AE276" s="1360"/>
    </row>
    <row r="277" spans="22:31" hidden="1" x14ac:dyDescent="0.2">
      <c r="V277" s="1360"/>
      <c r="W277" s="1360"/>
      <c r="X277" s="1360"/>
      <c r="Y277" s="1360"/>
      <c r="Z277" s="1360"/>
      <c r="AA277" s="1360"/>
      <c r="AB277" s="1360"/>
      <c r="AC277" s="1360"/>
      <c r="AD277" s="1360"/>
      <c r="AE277" s="1360"/>
    </row>
    <row r="278" spans="22:31" hidden="1" x14ac:dyDescent="0.2">
      <c r="V278" s="1360"/>
      <c r="W278" s="1360"/>
      <c r="X278" s="1360"/>
      <c r="Y278" s="1360"/>
      <c r="Z278" s="1360"/>
      <c r="AA278" s="1360"/>
      <c r="AB278" s="1360"/>
      <c r="AC278" s="1360"/>
      <c r="AD278" s="1360"/>
      <c r="AE278" s="1360"/>
    </row>
    <row r="279" spans="22:31" hidden="1" x14ac:dyDescent="0.2">
      <c r="V279" s="1360"/>
      <c r="W279" s="1360"/>
      <c r="X279" s="1360"/>
      <c r="Y279" s="1360"/>
      <c r="Z279" s="1360"/>
      <c r="AA279" s="1360"/>
      <c r="AB279" s="1360"/>
      <c r="AC279" s="1360"/>
      <c r="AD279" s="1360"/>
      <c r="AE279" s="1360"/>
    </row>
    <row r="280" spans="22:31" hidden="1" x14ac:dyDescent="0.2">
      <c r="V280" s="1360"/>
      <c r="W280" s="1360"/>
      <c r="X280" s="1360"/>
      <c r="Y280" s="1360"/>
      <c r="Z280" s="1360"/>
      <c r="AA280" s="1360"/>
      <c r="AB280" s="1360"/>
      <c r="AC280" s="1360"/>
      <c r="AD280" s="1360"/>
      <c r="AE280" s="1360"/>
    </row>
    <row r="281" spans="22:31" hidden="1" x14ac:dyDescent="0.2">
      <c r="V281" s="1360"/>
      <c r="W281" s="1360"/>
      <c r="X281" s="1360"/>
      <c r="Y281" s="1360"/>
      <c r="Z281" s="1360"/>
      <c r="AA281" s="1360"/>
      <c r="AB281" s="1360"/>
      <c r="AC281" s="1360"/>
      <c r="AD281" s="1360"/>
      <c r="AE281" s="1360"/>
    </row>
    <row r="282" spans="22:31" hidden="1" x14ac:dyDescent="0.2">
      <c r="V282" s="1360"/>
      <c r="W282" s="1360"/>
      <c r="X282" s="1360"/>
      <c r="Y282" s="1360"/>
      <c r="Z282" s="1360"/>
      <c r="AA282" s="1360"/>
      <c r="AB282" s="1360"/>
      <c r="AC282" s="1360"/>
      <c r="AD282" s="1360"/>
      <c r="AE282" s="1360"/>
    </row>
    <row r="283" spans="22:31" hidden="1" x14ac:dyDescent="0.2">
      <c r="V283" s="1360"/>
      <c r="W283" s="1360"/>
      <c r="X283" s="1360"/>
      <c r="Y283" s="1360"/>
      <c r="Z283" s="1360"/>
      <c r="AA283" s="1360"/>
      <c r="AB283" s="1360"/>
      <c r="AC283" s="1360"/>
      <c r="AD283" s="1360"/>
      <c r="AE283" s="1360"/>
    </row>
    <row r="284" spans="22:31" hidden="1" x14ac:dyDescent="0.2">
      <c r="V284" s="1360"/>
      <c r="W284" s="1360"/>
      <c r="X284" s="1360"/>
      <c r="Y284" s="1360"/>
      <c r="Z284" s="1360"/>
      <c r="AA284" s="1360"/>
      <c r="AB284" s="1360"/>
      <c r="AC284" s="1360"/>
      <c r="AD284" s="1360"/>
      <c r="AE284" s="1360"/>
    </row>
    <row r="285" spans="22:31" hidden="1" x14ac:dyDescent="0.2">
      <c r="V285" s="1360"/>
      <c r="W285" s="1360"/>
      <c r="X285" s="1360"/>
      <c r="Y285" s="1360"/>
      <c r="Z285" s="1360"/>
      <c r="AA285" s="1360"/>
      <c r="AB285" s="1360"/>
      <c r="AC285" s="1360"/>
      <c r="AD285" s="1360"/>
      <c r="AE285" s="1360"/>
    </row>
    <row r="286" spans="22:31" hidden="1" x14ac:dyDescent="0.2">
      <c r="V286" s="1360"/>
      <c r="W286" s="1360"/>
      <c r="X286" s="1360"/>
      <c r="Y286" s="1360"/>
      <c r="Z286" s="1360"/>
      <c r="AA286" s="1360"/>
      <c r="AB286" s="1360"/>
      <c r="AC286" s="1360"/>
      <c r="AD286" s="1360"/>
      <c r="AE286" s="1360"/>
    </row>
    <row r="287" spans="22:31" hidden="1" x14ac:dyDescent="0.2">
      <c r="V287" s="1360"/>
      <c r="W287" s="1360"/>
      <c r="X287" s="1360"/>
      <c r="Y287" s="1360"/>
      <c r="Z287" s="1360"/>
      <c r="AA287" s="1360"/>
      <c r="AB287" s="1360"/>
      <c r="AC287" s="1360"/>
      <c r="AD287" s="1360"/>
      <c r="AE287" s="1360"/>
    </row>
    <row r="288" spans="22:31" hidden="1" x14ac:dyDescent="0.2">
      <c r="V288" s="1360"/>
      <c r="W288" s="1360"/>
      <c r="X288" s="1360"/>
      <c r="Y288" s="1360"/>
      <c r="Z288" s="1360"/>
      <c r="AA288" s="1360"/>
      <c r="AB288" s="1360"/>
      <c r="AC288" s="1360"/>
      <c r="AD288" s="1360"/>
      <c r="AE288" s="1360"/>
    </row>
    <row r="289" spans="1:31" hidden="1" x14ac:dyDescent="0.2">
      <c r="V289" s="1360"/>
      <c r="W289" s="1360"/>
      <c r="X289" s="1360"/>
      <c r="Y289" s="1360"/>
      <c r="Z289" s="1360"/>
      <c r="AA289" s="1360"/>
      <c r="AB289" s="1360"/>
      <c r="AC289" s="1360"/>
      <c r="AD289" s="1360"/>
      <c r="AE289" s="1360"/>
    </row>
    <row r="290" spans="1:31" hidden="1" x14ac:dyDescent="0.2">
      <c r="V290" s="1360"/>
      <c r="W290" s="1360"/>
      <c r="X290" s="1360"/>
      <c r="Y290" s="1360"/>
      <c r="Z290" s="1360"/>
      <c r="AA290" s="1360"/>
      <c r="AB290" s="1360"/>
      <c r="AC290" s="1360"/>
      <c r="AD290" s="1360"/>
      <c r="AE290" s="1360"/>
    </row>
    <row r="291" spans="1:31" hidden="1" x14ac:dyDescent="0.2">
      <c r="V291" s="1360"/>
      <c r="W291" s="1360"/>
      <c r="X291" s="1360"/>
      <c r="Y291" s="1360"/>
      <c r="Z291" s="1360"/>
      <c r="AA291" s="1360"/>
      <c r="AB291" s="1360"/>
      <c r="AC291" s="1360"/>
      <c r="AD291" s="1360"/>
      <c r="AE291" s="1360"/>
    </row>
    <row r="292" spans="1:31" hidden="1" x14ac:dyDescent="0.2">
      <c r="V292" s="1360"/>
      <c r="W292" s="1360"/>
      <c r="X292" s="1360"/>
      <c r="Y292" s="1360"/>
      <c r="Z292" s="1360"/>
      <c r="AA292" s="1360"/>
      <c r="AB292" s="1360"/>
      <c r="AC292" s="1360"/>
      <c r="AD292" s="1360"/>
      <c r="AE292" s="1360"/>
    </row>
    <row r="293" spans="1:31" hidden="1" x14ac:dyDescent="0.2">
      <c r="V293" s="1360"/>
      <c r="W293" s="1360"/>
      <c r="X293" s="1360"/>
      <c r="Y293" s="1360"/>
      <c r="Z293" s="1360"/>
      <c r="AA293" s="1360"/>
      <c r="AB293" s="1360"/>
      <c r="AC293" s="1360"/>
      <c r="AD293" s="1360"/>
      <c r="AE293" s="1360"/>
    </row>
    <row r="294" spans="1:31" hidden="1" x14ac:dyDescent="0.2">
      <c r="V294" s="1360"/>
      <c r="W294" s="1360"/>
      <c r="X294" s="1360"/>
      <c r="Y294" s="1360"/>
      <c r="Z294" s="1360"/>
      <c r="AA294" s="1360"/>
      <c r="AB294" s="1360"/>
      <c r="AC294" s="1360"/>
      <c r="AD294" s="1360"/>
      <c r="AE294" s="1360"/>
    </row>
    <row r="295" spans="1:31" hidden="1" x14ac:dyDescent="0.2">
      <c r="V295" s="1360"/>
      <c r="W295" s="1360"/>
      <c r="X295" s="1360"/>
      <c r="Y295" s="1360"/>
      <c r="Z295" s="1360"/>
      <c r="AA295" s="1360"/>
      <c r="AB295" s="1360"/>
      <c r="AC295" s="1360"/>
      <c r="AD295" s="1360"/>
      <c r="AE295" s="1360"/>
    </row>
    <row r="296" spans="1:31" hidden="1" x14ac:dyDescent="0.2">
      <c r="V296" s="1360"/>
      <c r="W296" s="1360"/>
      <c r="X296" s="1360"/>
      <c r="Y296" s="1360"/>
      <c r="Z296" s="1360"/>
      <c r="AA296" s="1360"/>
      <c r="AB296" s="1360"/>
      <c r="AC296" s="1360"/>
      <c r="AD296" s="1360"/>
      <c r="AE296" s="1360"/>
    </row>
    <row r="297" spans="1:31" hidden="1" x14ac:dyDescent="0.2">
      <c r="V297" s="1360"/>
      <c r="W297" s="1360"/>
      <c r="X297" s="1360"/>
      <c r="Y297" s="1360"/>
      <c r="Z297" s="1360"/>
      <c r="AA297" s="1360"/>
      <c r="AB297" s="1360"/>
      <c r="AC297" s="1360"/>
      <c r="AD297" s="1360"/>
      <c r="AE297" s="1360"/>
    </row>
    <row r="298" spans="1:31" x14ac:dyDescent="0.2">
      <c r="V298" s="1360"/>
      <c r="W298" s="1360"/>
      <c r="X298" s="1360"/>
      <c r="Y298" s="1360"/>
      <c r="Z298" s="1360"/>
      <c r="AA298" s="1360"/>
      <c r="AB298" s="1360"/>
      <c r="AC298" s="1360"/>
      <c r="AD298" s="1360"/>
      <c r="AE298" s="1360"/>
    </row>
    <row r="299" spans="1:31" x14ac:dyDescent="0.2">
      <c r="A299" s="277"/>
      <c r="B299" s="277"/>
      <c r="C299" s="1364" t="s">
        <v>190</v>
      </c>
      <c r="D299" s="617"/>
      <c r="E299" s="617"/>
      <c r="V299" s="1360"/>
      <c r="W299" s="1360"/>
      <c r="X299" s="1360"/>
      <c r="Y299" s="1360"/>
      <c r="Z299" s="1360"/>
      <c r="AA299" s="1360"/>
      <c r="AB299" s="1360"/>
      <c r="AC299" s="1360"/>
      <c r="AD299" s="1360"/>
      <c r="AE299" s="1360"/>
    </row>
    <row r="300" spans="1:31" x14ac:dyDescent="0.2">
      <c r="A300" s="279">
        <v>1</v>
      </c>
      <c r="B300" s="1334" t="str">
        <f>IFERROR(INDEX(B$1:B$100,MATCH(A300,A$1:A$100,0)),"")</f>
        <v>Einar Juhkam, Jaan Sepp</v>
      </c>
      <c r="C300" s="55">
        <f>MAX(A300:A400)</f>
        <v>12</v>
      </c>
      <c r="D300" s="55"/>
      <c r="E300" s="55"/>
      <c r="V300" s="1360"/>
      <c r="W300" s="1360"/>
      <c r="X300" s="1360"/>
      <c r="Y300" s="1360"/>
      <c r="Z300" s="1360"/>
      <c r="AA300" s="1360"/>
      <c r="AB300" s="1360"/>
      <c r="AC300" s="1360"/>
      <c r="AD300" s="1360"/>
      <c r="AE300" s="1360"/>
    </row>
    <row r="301" spans="1:31" x14ac:dyDescent="0.2">
      <c r="A301" s="279">
        <v>2</v>
      </c>
      <c r="B301" s="1334" t="str">
        <f t="shared" ref="B301:B310" si="13">IFERROR(INDEX(B$1:B$100,MATCH(A301,A$1:A$100,0)),"")</f>
        <v>Aigi Orro, Kalle Orro</v>
      </c>
      <c r="C301" s="34">
        <v>10.5</v>
      </c>
      <c r="D301" s="34"/>
      <c r="E301" s="34"/>
      <c r="O301" s="188"/>
    </row>
    <row r="302" spans="1:31" x14ac:dyDescent="0.2">
      <c r="A302" s="279">
        <v>2</v>
      </c>
      <c r="B302" s="1334" t="str">
        <f>B10</f>
        <v>Elmo Lageda, Tõnu Piik</v>
      </c>
      <c r="C302" s="34">
        <v>10.5</v>
      </c>
      <c r="D302" s="34"/>
      <c r="E302" s="34"/>
      <c r="O302" s="188"/>
    </row>
    <row r="303" spans="1:31" x14ac:dyDescent="0.2">
      <c r="A303" s="279">
        <v>4</v>
      </c>
      <c r="B303" s="1334" t="str">
        <f t="shared" si="13"/>
        <v>Aarne Välja, Janek Tarto</v>
      </c>
      <c r="C303" s="34">
        <v>9</v>
      </c>
      <c r="D303" s="34"/>
      <c r="E303" s="34"/>
      <c r="O303" s="188"/>
    </row>
    <row r="304" spans="1:31" x14ac:dyDescent="0.2">
      <c r="A304" s="279">
        <v>5</v>
      </c>
      <c r="B304" s="1334" t="str">
        <f t="shared" si="13"/>
        <v>Boriss Klubov, Mait Metsla</v>
      </c>
      <c r="C304" s="34">
        <v>8</v>
      </c>
      <c r="D304" s="34"/>
      <c r="E304" s="34"/>
      <c r="O304" s="188"/>
    </row>
    <row r="305" spans="1:44" x14ac:dyDescent="0.2">
      <c r="A305" s="279">
        <v>6</v>
      </c>
      <c r="B305" s="1334" t="str">
        <f t="shared" si="13"/>
        <v>Oksana Sažina, Ülo Piik</v>
      </c>
      <c r="C305" s="34">
        <v>7</v>
      </c>
      <c r="D305" s="34"/>
      <c r="E305" s="34"/>
    </row>
    <row r="306" spans="1:44" x14ac:dyDescent="0.2">
      <c r="A306" s="279">
        <v>7</v>
      </c>
      <c r="B306" s="1334" t="str">
        <f t="shared" si="13"/>
        <v>Karla Purgats, Lemmit Toomra</v>
      </c>
      <c r="C306" s="34">
        <v>6</v>
      </c>
      <c r="D306" s="34"/>
      <c r="E306" s="34"/>
    </row>
    <row r="307" spans="1:44" x14ac:dyDescent="0.2">
      <c r="A307" s="279">
        <v>8</v>
      </c>
      <c r="B307" s="1334" t="str">
        <f t="shared" si="13"/>
        <v>Brigitta Neiland, Johannes Neiland, Merilin Neiland</v>
      </c>
      <c r="C307" s="34">
        <v>4.5</v>
      </c>
      <c r="D307" s="34"/>
      <c r="E307" s="34"/>
      <c r="O307" s="188"/>
    </row>
    <row r="308" spans="1:44" x14ac:dyDescent="0.2">
      <c r="A308" s="279">
        <v>8</v>
      </c>
      <c r="B308" s="1334" t="str">
        <f>B16</f>
        <v>Kenneth Muusikus, Peep Peenema, Urmas Randlaine</v>
      </c>
      <c r="C308" s="34">
        <v>4.5</v>
      </c>
      <c r="D308" s="34"/>
      <c r="E308" s="34"/>
      <c r="O308" s="188"/>
    </row>
    <row r="309" spans="1:44" x14ac:dyDescent="0.2">
      <c r="A309" s="279">
        <v>10</v>
      </c>
      <c r="B309" s="1334" t="str">
        <f t="shared" si="13"/>
        <v>Ljudmila Varendi, Viktor Švarõgin</v>
      </c>
      <c r="C309" s="34">
        <v>3</v>
      </c>
      <c r="D309" s="34"/>
      <c r="E309" s="34"/>
      <c r="O309" s="188"/>
    </row>
    <row r="310" spans="1:44" x14ac:dyDescent="0.2">
      <c r="A310" s="279">
        <v>11</v>
      </c>
      <c r="B310" s="1334" t="str">
        <f t="shared" si="13"/>
        <v>Illar Tõnurist, Jaan Saar</v>
      </c>
      <c r="C310" s="34">
        <f t="shared" ref="C310:C311" si="14">C309-1</f>
        <v>2</v>
      </c>
      <c r="D310" s="34"/>
      <c r="E310" s="34"/>
    </row>
    <row r="311" spans="1:44" x14ac:dyDescent="0.2">
      <c r="A311" s="279">
        <v>12</v>
      </c>
      <c r="B311" s="1334" t="str">
        <f t="shared" ref="B311" si="15">IFERROR(INDEX(B$1:B$100,MATCH(A311,A$1:A$100,0)),"")</f>
        <v>Ronald Jõeäär, Urmas Jõeäär</v>
      </c>
      <c r="C311" s="34">
        <f t="shared" si="14"/>
        <v>1</v>
      </c>
      <c r="D311" s="34"/>
      <c r="E311" s="34"/>
    </row>
    <row r="313" spans="1:44" x14ac:dyDescent="0.2">
      <c r="A313" s="42"/>
      <c r="B313" s="42"/>
      <c r="C313" s="42"/>
      <c r="D313" s="42"/>
      <c r="E313" s="42"/>
      <c r="F313" s="42"/>
      <c r="G313" s="42"/>
      <c r="H313" s="42"/>
      <c r="I313" s="42"/>
      <c r="J313" s="42"/>
      <c r="K313" s="42"/>
      <c r="O313" s="42"/>
      <c r="P313" s="42"/>
      <c r="Q313" s="42"/>
      <c r="R313" s="42"/>
      <c r="S313" s="42"/>
      <c r="X313" s="42"/>
      <c r="Y313" s="42"/>
      <c r="Z313" s="42"/>
      <c r="AA313" s="42"/>
      <c r="AB313" s="42"/>
      <c r="AC313" s="42"/>
      <c r="AD313" s="42"/>
      <c r="AE313" s="42"/>
      <c r="AF313" s="42"/>
      <c r="AG313" s="42"/>
      <c r="AH313" s="42"/>
      <c r="AI313" s="42"/>
      <c r="AJ313" s="42"/>
      <c r="AK313" s="42"/>
      <c r="AL313" s="42"/>
      <c r="AM313" s="42"/>
      <c r="AN313" s="42"/>
      <c r="AO313" s="42"/>
      <c r="AP313" s="42"/>
      <c r="AQ313" s="42"/>
      <c r="AR313" s="42"/>
    </row>
    <row r="314" spans="1:44" x14ac:dyDescent="0.2">
      <c r="A314" s="42"/>
      <c r="B314" s="42"/>
      <c r="C314" s="42"/>
      <c r="D314" s="42"/>
      <c r="E314" s="42"/>
      <c r="F314" s="42"/>
      <c r="G314" s="42"/>
      <c r="H314" s="42"/>
      <c r="I314" s="42"/>
      <c r="J314" s="42"/>
      <c r="K314" s="42"/>
      <c r="O314" s="42"/>
      <c r="P314" s="42"/>
      <c r="Q314" s="42"/>
      <c r="R314" s="42"/>
      <c r="S314" s="42"/>
      <c r="X314" s="42"/>
      <c r="Y314" s="42"/>
      <c r="Z314" s="42"/>
      <c r="AA314" s="42"/>
      <c r="AB314" s="42"/>
      <c r="AC314" s="42"/>
      <c r="AD314" s="42"/>
      <c r="AE314" s="42"/>
      <c r="AF314" s="42"/>
      <c r="AG314" s="42"/>
      <c r="AH314" s="42"/>
      <c r="AI314" s="42"/>
      <c r="AJ314" s="42"/>
      <c r="AK314" s="42"/>
      <c r="AL314" s="42"/>
      <c r="AM314" s="42"/>
      <c r="AN314" s="42"/>
      <c r="AO314" s="42"/>
      <c r="AP314" s="42"/>
      <c r="AQ314" s="42"/>
      <c r="AR314" s="42"/>
    </row>
    <row r="315" spans="1:44" x14ac:dyDescent="0.2">
      <c r="A315" s="42"/>
      <c r="B315" s="42"/>
      <c r="C315" s="42"/>
      <c r="D315" s="42"/>
      <c r="E315" s="42"/>
      <c r="F315" s="42"/>
      <c r="G315" s="42"/>
      <c r="H315" s="42"/>
      <c r="I315" s="42"/>
      <c r="J315" s="42"/>
      <c r="K315" s="42"/>
      <c r="O315" s="42"/>
      <c r="P315" s="42"/>
      <c r="Q315" s="42"/>
      <c r="R315" s="42"/>
      <c r="S315" s="42"/>
      <c r="X315" s="42"/>
      <c r="Y315" s="42"/>
      <c r="Z315" s="42"/>
      <c r="AA315" s="42"/>
      <c r="AB315" s="42"/>
      <c r="AC315" s="42"/>
      <c r="AD315" s="42"/>
      <c r="AE315" s="42"/>
      <c r="AF315" s="42"/>
      <c r="AG315" s="42"/>
      <c r="AH315" s="42"/>
      <c r="AI315" s="42"/>
      <c r="AJ315" s="42"/>
      <c r="AK315" s="42"/>
      <c r="AL315" s="42"/>
      <c r="AM315" s="42"/>
      <c r="AN315" s="42"/>
      <c r="AO315" s="42"/>
      <c r="AP315" s="42"/>
      <c r="AQ315" s="42"/>
      <c r="AR315" s="42"/>
    </row>
    <row r="316" spans="1:44" x14ac:dyDescent="0.2">
      <c r="A316" s="42"/>
      <c r="B316" s="42"/>
      <c r="C316" s="42"/>
      <c r="D316" s="42"/>
      <c r="E316" s="42"/>
      <c r="F316" s="42"/>
      <c r="G316" s="42"/>
      <c r="H316" s="42"/>
      <c r="I316" s="42"/>
      <c r="J316" s="42"/>
      <c r="K316" s="42"/>
      <c r="O316" s="42"/>
      <c r="P316" s="42"/>
      <c r="Q316" s="42"/>
      <c r="R316" s="42"/>
      <c r="S316" s="42"/>
      <c r="X316" s="42"/>
      <c r="Y316" s="42"/>
      <c r="Z316" s="42"/>
      <c r="AA316" s="42"/>
      <c r="AB316" s="42"/>
      <c r="AC316" s="42"/>
      <c r="AD316" s="42"/>
      <c r="AE316" s="42"/>
      <c r="AF316" s="42"/>
      <c r="AG316" s="42"/>
      <c r="AH316" s="42"/>
      <c r="AI316" s="42"/>
      <c r="AJ316" s="42"/>
      <c r="AK316" s="42"/>
      <c r="AL316" s="42"/>
      <c r="AM316" s="42"/>
      <c r="AN316" s="42"/>
      <c r="AO316" s="42"/>
      <c r="AP316" s="42"/>
      <c r="AQ316" s="42"/>
      <c r="AR316" s="42"/>
    </row>
    <row r="317" spans="1:44" x14ac:dyDescent="0.2">
      <c r="A317" s="42"/>
      <c r="B317" s="42"/>
      <c r="C317" s="42"/>
      <c r="D317" s="42"/>
      <c r="E317" s="42"/>
      <c r="F317" s="42"/>
      <c r="G317" s="42"/>
      <c r="H317" s="42"/>
      <c r="I317" s="42"/>
      <c r="J317" s="42"/>
      <c r="K317" s="42"/>
      <c r="O317" s="42"/>
      <c r="P317" s="42"/>
      <c r="Q317" s="42"/>
      <c r="R317" s="42"/>
      <c r="S317" s="42"/>
      <c r="X317" s="42"/>
      <c r="Y317" s="42"/>
      <c r="Z317" s="42"/>
      <c r="AA317" s="42"/>
      <c r="AB317" s="42"/>
      <c r="AC317" s="42"/>
      <c r="AD317" s="42"/>
      <c r="AE317" s="42"/>
      <c r="AF317" s="42"/>
      <c r="AG317" s="42"/>
      <c r="AH317" s="42"/>
      <c r="AI317" s="42"/>
      <c r="AJ317" s="42"/>
      <c r="AK317" s="42"/>
      <c r="AL317" s="42"/>
      <c r="AM317" s="42"/>
      <c r="AN317" s="42"/>
      <c r="AO317" s="42"/>
      <c r="AP317" s="42"/>
      <c r="AQ317" s="42"/>
      <c r="AR317" s="42"/>
    </row>
    <row r="318" spans="1:44" x14ac:dyDescent="0.2">
      <c r="A318" s="42"/>
      <c r="B318" s="42"/>
      <c r="C318" s="42"/>
      <c r="D318" s="42"/>
      <c r="E318" s="42"/>
      <c r="F318" s="42"/>
      <c r="G318" s="42"/>
      <c r="H318" s="42"/>
      <c r="I318" s="42"/>
      <c r="J318" s="42"/>
      <c r="K318" s="42"/>
      <c r="O318" s="42"/>
      <c r="P318" s="42"/>
      <c r="Q318" s="42"/>
      <c r="R318" s="42"/>
      <c r="S318" s="42"/>
      <c r="X318" s="42"/>
      <c r="Y318" s="42"/>
      <c r="Z318" s="42"/>
      <c r="AA318" s="42"/>
      <c r="AB318" s="42"/>
      <c r="AC318" s="42"/>
      <c r="AD318" s="42"/>
      <c r="AE318" s="42"/>
      <c r="AF318" s="42"/>
      <c r="AG318" s="42"/>
      <c r="AH318" s="42"/>
      <c r="AI318" s="42"/>
      <c r="AJ318" s="42"/>
      <c r="AK318" s="42"/>
      <c r="AL318" s="42"/>
      <c r="AM318" s="42"/>
      <c r="AN318" s="42"/>
      <c r="AO318" s="42"/>
      <c r="AP318" s="42"/>
      <c r="AQ318" s="42"/>
      <c r="AR318" s="42"/>
    </row>
    <row r="319" spans="1:44" x14ac:dyDescent="0.2">
      <c r="A319" s="42"/>
      <c r="B319" s="42"/>
      <c r="C319" s="42"/>
      <c r="D319" s="42"/>
      <c r="E319" s="42"/>
      <c r="F319" s="42"/>
      <c r="G319" s="42"/>
      <c r="H319" s="42"/>
      <c r="I319" s="42"/>
      <c r="J319" s="42"/>
      <c r="K319" s="42"/>
      <c r="O319" s="42"/>
      <c r="P319" s="42"/>
      <c r="Q319" s="42"/>
      <c r="R319" s="42"/>
      <c r="S319" s="42"/>
      <c r="X319" s="42"/>
      <c r="Y319" s="42"/>
      <c r="Z319" s="42"/>
      <c r="AA319" s="42"/>
      <c r="AB319" s="42"/>
      <c r="AC319" s="42"/>
      <c r="AD319" s="42"/>
      <c r="AE319" s="42"/>
      <c r="AF319" s="42"/>
      <c r="AG319" s="42"/>
      <c r="AH319" s="42"/>
      <c r="AI319" s="42"/>
      <c r="AJ319" s="42"/>
      <c r="AK319" s="42"/>
      <c r="AL319" s="42"/>
      <c r="AM319" s="42"/>
      <c r="AN319" s="42"/>
      <c r="AO319" s="42"/>
      <c r="AP319" s="42"/>
      <c r="AQ319" s="42"/>
      <c r="AR319" s="42"/>
    </row>
    <row r="320" spans="1:44" x14ac:dyDescent="0.2">
      <c r="A320" s="42"/>
      <c r="B320" s="42"/>
      <c r="C320" s="42"/>
      <c r="D320" s="42"/>
      <c r="E320" s="42"/>
      <c r="F320" s="42"/>
      <c r="G320" s="42"/>
      <c r="H320" s="42"/>
      <c r="I320" s="42"/>
      <c r="J320" s="42"/>
      <c r="K320" s="42"/>
      <c r="O320" s="42"/>
      <c r="P320" s="42"/>
      <c r="Q320" s="42"/>
      <c r="R320" s="42"/>
      <c r="S320" s="42"/>
      <c r="X320" s="42"/>
      <c r="Y320" s="42"/>
      <c r="Z320" s="42"/>
      <c r="AA320" s="42"/>
      <c r="AB320" s="42"/>
      <c r="AC320" s="42"/>
      <c r="AD320" s="42"/>
      <c r="AE320" s="42"/>
      <c r="AF320" s="42"/>
      <c r="AG320" s="42"/>
      <c r="AH320" s="42"/>
      <c r="AI320" s="42"/>
      <c r="AJ320" s="42"/>
      <c r="AK320" s="42"/>
      <c r="AL320" s="42"/>
      <c r="AM320" s="42"/>
      <c r="AN320" s="42"/>
      <c r="AO320" s="42"/>
      <c r="AP320" s="42"/>
      <c r="AQ320" s="42"/>
      <c r="AR320" s="42"/>
    </row>
    <row r="321" spans="1:44" x14ac:dyDescent="0.2">
      <c r="A321" s="42"/>
      <c r="B321" s="42"/>
      <c r="C321" s="42"/>
      <c r="D321" s="42"/>
      <c r="E321" s="42"/>
      <c r="F321" s="42"/>
      <c r="G321" s="42"/>
      <c r="H321" s="42"/>
      <c r="I321" s="42"/>
      <c r="J321" s="42"/>
      <c r="K321" s="42"/>
      <c r="O321" s="42"/>
      <c r="P321" s="42"/>
      <c r="Q321" s="42"/>
      <c r="R321" s="42"/>
      <c r="S321" s="42"/>
      <c r="X321" s="42"/>
      <c r="Y321" s="42"/>
      <c r="Z321" s="42"/>
      <c r="AA321" s="42"/>
      <c r="AB321" s="42"/>
      <c r="AC321" s="42"/>
      <c r="AD321" s="42"/>
      <c r="AE321" s="42"/>
      <c r="AF321" s="42"/>
      <c r="AG321" s="42"/>
      <c r="AH321" s="42"/>
      <c r="AI321" s="42"/>
      <c r="AJ321" s="42"/>
      <c r="AK321" s="42"/>
      <c r="AL321" s="42"/>
      <c r="AM321" s="42"/>
      <c r="AN321" s="42"/>
      <c r="AO321" s="42"/>
      <c r="AP321" s="42"/>
      <c r="AQ321" s="42"/>
      <c r="AR321" s="42"/>
    </row>
    <row r="322" spans="1:44" x14ac:dyDescent="0.2">
      <c r="A322" s="42"/>
      <c r="B322" s="42"/>
      <c r="C322" s="42"/>
      <c r="D322" s="42"/>
      <c r="E322" s="42"/>
      <c r="F322" s="42"/>
      <c r="G322" s="42"/>
      <c r="H322" s="42"/>
      <c r="I322" s="42"/>
      <c r="J322" s="42"/>
      <c r="K322" s="42"/>
      <c r="O322" s="42"/>
      <c r="P322" s="42"/>
      <c r="Q322" s="42"/>
      <c r="R322" s="42"/>
      <c r="S322" s="42"/>
      <c r="X322" s="42"/>
      <c r="Y322" s="42"/>
      <c r="Z322" s="42"/>
      <c r="AA322" s="42"/>
      <c r="AB322" s="42"/>
      <c r="AC322" s="42"/>
      <c r="AD322" s="42"/>
      <c r="AE322" s="42"/>
      <c r="AF322" s="42"/>
      <c r="AG322" s="42"/>
      <c r="AH322" s="42"/>
      <c r="AI322" s="42"/>
      <c r="AJ322" s="42"/>
      <c r="AK322" s="42"/>
      <c r="AL322" s="42"/>
      <c r="AM322" s="42"/>
      <c r="AN322" s="42"/>
      <c r="AO322" s="42"/>
      <c r="AP322" s="42"/>
      <c r="AQ322" s="42"/>
      <c r="AR322" s="42"/>
    </row>
    <row r="323" spans="1:44" x14ac:dyDescent="0.2">
      <c r="A323" s="42"/>
      <c r="B323" s="42"/>
      <c r="C323" s="42"/>
      <c r="D323" s="42"/>
      <c r="E323" s="42"/>
      <c r="F323" s="42"/>
      <c r="G323" s="42"/>
      <c r="H323" s="42"/>
      <c r="I323" s="42"/>
      <c r="J323" s="42"/>
      <c r="K323" s="42"/>
      <c r="O323" s="42"/>
      <c r="P323" s="42"/>
      <c r="Q323" s="42"/>
      <c r="R323" s="42"/>
      <c r="S323" s="42"/>
      <c r="X323" s="42"/>
      <c r="Y323" s="42"/>
      <c r="Z323" s="42"/>
      <c r="AA323" s="42"/>
      <c r="AB323" s="42"/>
      <c r="AC323" s="42"/>
      <c r="AD323" s="42"/>
      <c r="AE323" s="42"/>
      <c r="AF323" s="42"/>
      <c r="AG323" s="42"/>
      <c r="AH323" s="42"/>
      <c r="AI323" s="42"/>
      <c r="AJ323" s="42"/>
      <c r="AK323" s="42"/>
      <c r="AL323" s="42"/>
      <c r="AM323" s="42"/>
      <c r="AN323" s="42"/>
      <c r="AO323" s="42"/>
      <c r="AP323" s="42"/>
      <c r="AQ323" s="42"/>
      <c r="AR323" s="42"/>
    </row>
    <row r="324" spans="1:44" x14ac:dyDescent="0.2">
      <c r="A324" s="42"/>
      <c r="B324" s="42"/>
      <c r="C324" s="42"/>
      <c r="D324" s="42"/>
      <c r="E324" s="42"/>
      <c r="F324" s="42"/>
      <c r="G324" s="42"/>
      <c r="H324" s="42"/>
      <c r="I324" s="42"/>
      <c r="J324" s="42"/>
      <c r="K324" s="42"/>
      <c r="O324" s="42"/>
      <c r="P324" s="42"/>
      <c r="Q324" s="42"/>
      <c r="R324" s="42"/>
      <c r="S324" s="42"/>
      <c r="X324" s="42"/>
      <c r="Y324" s="42"/>
      <c r="Z324" s="42"/>
      <c r="AA324" s="42"/>
      <c r="AB324" s="42"/>
      <c r="AC324" s="42"/>
      <c r="AD324" s="42"/>
      <c r="AE324" s="42"/>
      <c r="AF324" s="42"/>
      <c r="AG324" s="42"/>
      <c r="AH324" s="42"/>
      <c r="AI324" s="42"/>
      <c r="AJ324" s="42"/>
      <c r="AK324" s="42"/>
      <c r="AL324" s="42"/>
      <c r="AM324" s="42"/>
      <c r="AN324" s="42"/>
      <c r="AO324" s="42"/>
      <c r="AP324" s="42"/>
      <c r="AQ324" s="42"/>
      <c r="AR324" s="42"/>
    </row>
    <row r="325" spans="1:44" x14ac:dyDescent="0.2">
      <c r="A325" s="42"/>
      <c r="B325" s="42"/>
      <c r="C325" s="42"/>
      <c r="D325" s="42"/>
      <c r="E325" s="42"/>
      <c r="F325" s="42"/>
      <c r="G325" s="42"/>
      <c r="H325" s="42"/>
      <c r="I325" s="42"/>
      <c r="J325" s="42"/>
      <c r="K325" s="42"/>
      <c r="O325" s="42"/>
      <c r="P325" s="42"/>
      <c r="Q325" s="42"/>
      <c r="R325" s="42"/>
      <c r="S325" s="42"/>
      <c r="X325" s="42"/>
      <c r="Y325" s="42"/>
      <c r="Z325" s="42"/>
      <c r="AA325" s="42"/>
      <c r="AB325" s="42"/>
      <c r="AC325" s="42"/>
      <c r="AD325" s="42"/>
      <c r="AE325" s="42"/>
      <c r="AF325" s="42"/>
      <c r="AG325" s="42"/>
      <c r="AH325" s="42"/>
      <c r="AI325" s="42"/>
      <c r="AJ325" s="42"/>
      <c r="AK325" s="42"/>
      <c r="AL325" s="42"/>
      <c r="AM325" s="42"/>
      <c r="AN325" s="42"/>
      <c r="AO325" s="42"/>
      <c r="AP325" s="42"/>
      <c r="AQ325" s="42"/>
      <c r="AR325" s="42"/>
    </row>
    <row r="326" spans="1:44" x14ac:dyDescent="0.2">
      <c r="A326" s="42"/>
      <c r="B326" s="42"/>
      <c r="C326" s="42"/>
      <c r="D326" s="42"/>
      <c r="E326" s="42"/>
      <c r="F326" s="42"/>
      <c r="G326" s="42"/>
      <c r="H326" s="42"/>
      <c r="I326" s="42"/>
      <c r="J326" s="42"/>
      <c r="K326" s="42"/>
      <c r="O326" s="42"/>
      <c r="P326" s="42"/>
      <c r="Q326" s="42"/>
      <c r="R326" s="42"/>
      <c r="S326" s="42"/>
      <c r="X326" s="42"/>
      <c r="Y326" s="42"/>
      <c r="Z326" s="42"/>
      <c r="AA326" s="42"/>
      <c r="AB326" s="42"/>
      <c r="AC326" s="42"/>
      <c r="AD326" s="42"/>
      <c r="AE326" s="42"/>
      <c r="AF326" s="42"/>
      <c r="AG326" s="42"/>
      <c r="AH326" s="42"/>
      <c r="AI326" s="42"/>
      <c r="AJ326" s="42"/>
      <c r="AK326" s="42"/>
      <c r="AL326" s="42"/>
      <c r="AM326" s="42"/>
      <c r="AN326" s="42"/>
      <c r="AO326" s="42"/>
      <c r="AP326" s="42"/>
      <c r="AQ326" s="42"/>
      <c r="AR326" s="42"/>
    </row>
    <row r="327" spans="1:44" x14ac:dyDescent="0.2">
      <c r="A327" s="42"/>
      <c r="B327" s="42"/>
      <c r="C327" s="42"/>
      <c r="D327" s="42"/>
      <c r="E327" s="42"/>
      <c r="F327" s="42"/>
      <c r="G327" s="42"/>
      <c r="H327" s="42"/>
      <c r="I327" s="42"/>
      <c r="J327" s="42"/>
      <c r="K327" s="42"/>
      <c r="O327" s="42"/>
      <c r="P327" s="42"/>
      <c r="Q327" s="42"/>
      <c r="R327" s="42"/>
      <c r="S327" s="42"/>
      <c r="X327" s="42"/>
      <c r="Y327" s="42"/>
      <c r="Z327" s="42"/>
      <c r="AA327" s="42"/>
      <c r="AB327" s="42"/>
      <c r="AC327" s="42"/>
      <c r="AD327" s="42"/>
      <c r="AE327" s="42"/>
      <c r="AF327" s="42"/>
      <c r="AG327" s="42"/>
      <c r="AH327" s="42"/>
      <c r="AI327" s="42"/>
      <c r="AJ327" s="42"/>
      <c r="AK327" s="42"/>
      <c r="AL327" s="42"/>
      <c r="AM327" s="42"/>
      <c r="AN327" s="42"/>
      <c r="AO327" s="42"/>
      <c r="AP327" s="42"/>
      <c r="AQ327" s="42"/>
      <c r="AR327" s="42"/>
    </row>
    <row r="328" spans="1:44" x14ac:dyDescent="0.2">
      <c r="A328" s="42"/>
      <c r="B328" s="42"/>
      <c r="C328" s="42"/>
      <c r="D328" s="42"/>
      <c r="E328" s="42"/>
      <c r="F328" s="42"/>
      <c r="G328" s="42"/>
      <c r="H328" s="42"/>
      <c r="I328" s="42"/>
      <c r="J328" s="42"/>
      <c r="K328" s="42"/>
      <c r="O328" s="42"/>
      <c r="P328" s="42"/>
      <c r="Q328" s="42"/>
      <c r="R328" s="42"/>
      <c r="S328" s="42"/>
      <c r="X328" s="42"/>
      <c r="Y328" s="42"/>
      <c r="Z328" s="42"/>
      <c r="AA328" s="42"/>
      <c r="AB328" s="42"/>
      <c r="AC328" s="42"/>
      <c r="AD328" s="42"/>
      <c r="AE328" s="42"/>
      <c r="AF328" s="42"/>
      <c r="AG328" s="42"/>
      <c r="AH328" s="42"/>
      <c r="AI328" s="42"/>
      <c r="AJ328" s="42"/>
      <c r="AK328" s="42"/>
      <c r="AL328" s="42"/>
      <c r="AM328" s="42"/>
      <c r="AN328" s="42"/>
      <c r="AO328" s="42"/>
      <c r="AP328" s="42"/>
      <c r="AQ328" s="42"/>
      <c r="AR328" s="42"/>
    </row>
  </sheetData>
  <conditionalFormatting sqref="A300:A311">
    <cfRule type="duplicateValues" dxfId="388" priority="96"/>
  </conditionalFormatting>
  <conditionalFormatting sqref="AI8:AI19 AO8:AO19 AM8:AM19">
    <cfRule type="expression" dxfId="387" priority="95">
      <formula>AND(AJ8="",COUNTIF(AI8,"*,*")=0)</formula>
    </cfRule>
  </conditionalFormatting>
  <conditionalFormatting sqref="AK8:AK19">
    <cfRule type="expression" dxfId="386" priority="93">
      <formula>AND(AL8="",FIND(",",AK8))</formula>
    </cfRule>
    <cfRule type="expression" dxfId="385" priority="94">
      <formula>AND(AL8="",COUNTIF(AK8,"*,*")=0)</formula>
    </cfRule>
  </conditionalFormatting>
  <conditionalFormatting sqref="B300:B311">
    <cfRule type="expression" dxfId="384" priority="85">
      <formula>A300=3</formula>
    </cfRule>
    <cfRule type="expression" dxfId="383" priority="86">
      <formula>A300=2</formula>
    </cfRule>
    <cfRule type="expression" dxfId="382" priority="87">
      <formula>A300=1</formula>
    </cfRule>
    <cfRule type="containsBlanks" dxfId="381" priority="88">
      <formula>LEN(TRIM(B300))=0</formula>
    </cfRule>
    <cfRule type="duplicateValues" dxfId="380" priority="89"/>
  </conditionalFormatting>
  <conditionalFormatting sqref="A8:A19">
    <cfRule type="duplicateValues" dxfId="379" priority="39"/>
  </conditionalFormatting>
  <conditionalFormatting sqref="C8:C19">
    <cfRule type="expression" dxfId="378" priority="21">
      <formula>IF($C8&gt;$E8,TRUE)</formula>
    </cfRule>
  </conditionalFormatting>
  <conditionalFormatting sqref="E8:E19">
    <cfRule type="expression" dxfId="377" priority="22">
      <formula>IF($C8&lt;$E8,TRUE)</formula>
    </cfRule>
  </conditionalFormatting>
  <conditionalFormatting sqref="K8:K19">
    <cfRule type="expression" dxfId="376" priority="29">
      <formula>IF($K8&gt;$M8,TRUE)</formula>
    </cfRule>
  </conditionalFormatting>
  <conditionalFormatting sqref="M8:M19">
    <cfRule type="expression" dxfId="375" priority="30">
      <formula>IF($K8&lt;$M8,TRUE)</formula>
    </cfRule>
  </conditionalFormatting>
  <conditionalFormatting sqref="O8:O19">
    <cfRule type="expression" dxfId="374" priority="33">
      <formula>IF($O8&gt;$Q8,TRUE)</formula>
    </cfRule>
  </conditionalFormatting>
  <conditionalFormatting sqref="Q8:Q19">
    <cfRule type="expression" dxfId="373" priority="34">
      <formula>IF($O8&lt;$Q8,TRUE)</formula>
    </cfRule>
  </conditionalFormatting>
  <conditionalFormatting sqref="S8:S19">
    <cfRule type="expression" dxfId="372" priority="37">
      <formula>IF($S8&gt;$U8,TRUE)</formula>
    </cfRule>
  </conditionalFormatting>
  <conditionalFormatting sqref="U8:U19">
    <cfRule type="expression" dxfId="371" priority="38">
      <formula>IF($S8&lt;$U8,TRUE)</formula>
    </cfRule>
  </conditionalFormatting>
  <conditionalFormatting sqref="G8:G19">
    <cfRule type="expression" dxfId="370" priority="25">
      <formula>IF($G8&gt;$I8,TRUE)</formula>
    </cfRule>
  </conditionalFormatting>
  <conditionalFormatting sqref="I8:I19">
    <cfRule type="expression" dxfId="369" priority="26">
      <formula>IF($G8&lt;$I8,TRUE)</formula>
    </cfRule>
  </conditionalFormatting>
  <conditionalFormatting sqref="F8:F19">
    <cfRule type="containsText" dxfId="368" priority="7" operator="containsText" text="vaba voor">
      <formula>NOT(ISERROR(SEARCH("vaba voor",F8)))</formula>
    </cfRule>
  </conditionalFormatting>
  <conditionalFormatting sqref="N8:N19">
    <cfRule type="containsText" dxfId="367" priority="5" operator="containsText" text="vaba voor">
      <formula>NOT(ISERROR(SEARCH("vaba voor",N8)))</formula>
    </cfRule>
  </conditionalFormatting>
  <conditionalFormatting sqref="R8:R19">
    <cfRule type="containsText" dxfId="366" priority="8" operator="containsText" text="vaba voor">
      <formula>NOT(ISERROR(SEARCH("vaba voor",R8)))</formula>
    </cfRule>
  </conditionalFormatting>
  <conditionalFormatting sqref="V8:V19">
    <cfRule type="containsText" dxfId="365" priority="4" operator="containsText" text="vaba voor">
      <formula>NOT(ISERROR(SEARCH("vaba voor",V8)))</formula>
    </cfRule>
  </conditionalFormatting>
  <conditionalFormatting sqref="Z8:Z19">
    <cfRule type="containsText" dxfId="364" priority="3" operator="containsText" text="vaba voor">
      <formula>NOT(ISERROR(SEARCH("vaba voor",Z8)))</formula>
    </cfRule>
  </conditionalFormatting>
  <conditionalFormatting sqref="W8:W19">
    <cfRule type="expression" dxfId="363" priority="12">
      <formula>IF($W8&gt;$Y8,TRUE)</formula>
    </cfRule>
  </conditionalFormatting>
  <conditionalFormatting sqref="Y8:Y19">
    <cfRule type="expression" dxfId="362" priority="13">
      <formula>IF($W8&lt;$Y8,TRUE)</formula>
    </cfRule>
  </conditionalFormatting>
  <conditionalFormatting sqref="J8:J19">
    <cfRule type="containsText" dxfId="361" priority="6" operator="containsText" text="vaba voor">
      <formula>NOT(ISERROR(SEARCH("vaba voor",J8)))</formula>
    </cfRule>
  </conditionalFormatting>
  <conditionalFormatting sqref="C8:F19">
    <cfRule type="expression" dxfId="360" priority="17">
      <formula>IF(AND(ISNUMBER($C8),$C8=$E8),TRUE)</formula>
    </cfRule>
    <cfRule type="expression" dxfId="359" priority="19">
      <formula>IF($C8&gt;$E8,TRUE)</formula>
    </cfRule>
    <cfRule type="expression" dxfId="358" priority="20">
      <formula>IF($C8&lt;$E8,TRUE)</formula>
    </cfRule>
  </conditionalFormatting>
  <conditionalFormatting sqref="G8:J19">
    <cfRule type="expression" dxfId="357" priority="18">
      <formula>IF(AND(ISNUMBER($G8),$G8=$I8),TRUE)</formula>
    </cfRule>
    <cfRule type="expression" dxfId="356" priority="23">
      <formula>IF($G8&gt;$I8,TRUE)</formula>
    </cfRule>
    <cfRule type="expression" dxfId="355" priority="24">
      <formula>IF($G8&lt;$I8,TRUE)</formula>
    </cfRule>
  </conditionalFormatting>
  <conditionalFormatting sqref="K8:N19">
    <cfRule type="expression" dxfId="354" priority="16">
      <formula>IF(AND(ISNUMBER($K8),$K8=$M8),TRUE)</formula>
    </cfRule>
    <cfRule type="expression" dxfId="353" priority="27">
      <formula>IF($K8&gt;$M8,TRUE)</formula>
    </cfRule>
    <cfRule type="expression" dxfId="352" priority="28">
      <formula>IF($K8&lt;$M8,TRUE)</formula>
    </cfRule>
  </conditionalFormatting>
  <conditionalFormatting sqref="O8:R19">
    <cfRule type="expression" dxfId="351" priority="15">
      <formula>IF(AND(ISNUMBER($O8),$O8=$Q8),TRUE)</formula>
    </cfRule>
    <cfRule type="expression" dxfId="350" priority="31">
      <formula>IF($O8&gt;$Q8,TRUE)</formula>
    </cfRule>
    <cfRule type="expression" dxfId="349" priority="32">
      <formula>IF($O8&lt;$Q8,TRUE)</formula>
    </cfRule>
  </conditionalFormatting>
  <conditionalFormatting sqref="S8:V19">
    <cfRule type="expression" dxfId="348" priority="14">
      <formula>IF(AND(ISNUMBER($S8),$S8=$U8),TRUE)</formula>
    </cfRule>
    <cfRule type="expression" dxfId="347" priority="35">
      <formula>IF($S8&gt;$U8,TRUE)</formula>
    </cfRule>
    <cfRule type="expression" dxfId="346" priority="36">
      <formula>IF($S8&lt;$U8,TRUE)</formula>
    </cfRule>
  </conditionalFormatting>
  <conditionalFormatting sqref="W8:Z19">
    <cfRule type="expression" dxfId="345" priority="9">
      <formula>IF(AND(ISNUMBER($W8),$W8=$Y8),TRUE)</formula>
    </cfRule>
    <cfRule type="expression" dxfId="344" priority="10">
      <formula>IF($W8&gt;$Y8,TRUE)</formula>
    </cfRule>
    <cfRule type="expression" dxfId="343" priority="11">
      <formula>IF($W8&lt;$Y8,TRUE)</formula>
    </cfRule>
  </conditionalFormatting>
  <conditionalFormatting sqref="C8:C19 G8:G19 K8:K19 O8:O19 S8:S19 W8:W19">
    <cfRule type="expression" dxfId="342" priority="1">
      <formula>AND(C8=0,E8=13)</formula>
    </cfRule>
  </conditionalFormatting>
  <conditionalFormatting sqref="E8:E19 I8:I19 M8:M19 Q8:Q19 U8:U19 Y8:Y19">
    <cfRule type="expression" dxfId="341" priority="2">
      <formula>AND(E8=0,C8=13)</formula>
    </cfRule>
  </conditionalFormatting>
  <pageMargins left="0.39370078740157483" right="0.39370078740157483" top="0.78740157480314965" bottom="0.39370078740157483" header="0.59055118110236227" footer="0"/>
  <pageSetup paperSize="9" scale="99" fitToHeight="0" orientation="landscape" horizontalDpi="1200" verticalDpi="1200" r:id="rId1"/>
  <headerFooter>
    <oddHeader>&amp;R&amp;"Arial,Regular"&amp;9Page &amp;P of &amp;N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CFFCC"/>
    <pageSetUpPr fitToPage="1"/>
  </sheetPr>
  <dimension ref="A1:AP317"/>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42.28515625" style="32"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9.140625" style="32" hidden="1" customWidth="1"/>
    <col min="35" max="35" width="16.5703125" style="32" hidden="1" customWidth="1"/>
    <col min="36" max="36" width="9.140625" style="32" hidden="1" customWidth="1"/>
    <col min="37" max="37" width="27.85546875" style="32" hidden="1" customWidth="1"/>
    <col min="38" max="38" width="9.140625" style="32" hidden="1" customWidth="1"/>
    <col min="39" max="39" width="17.28515625" style="32" hidden="1" customWidth="1"/>
    <col min="40" max="40" width="9.140625" style="32" hidden="1" customWidth="1"/>
    <col min="41" max="41" width="13.85546875" style="32" hidden="1" customWidth="1"/>
    <col min="42" max="42" width="9.140625" style="32" hidden="1" customWidth="1"/>
    <col min="43" max="16384" width="9.140625" style="32"/>
  </cols>
  <sheetData>
    <row r="1" spans="1:42" x14ac:dyDescent="0.2">
      <c r="A1" s="31" t="str">
        <f>UPPER((Kalend!E41)&amp;" - "&amp;(Kalend!C41)&amp;" - "&amp;(Kalend!D41))</f>
        <v>V9 - VOKA 5. KV 9.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"&amp;(Kalend!A41)&amp;" kell "&amp;(Kalend!B41)</f>
        <v>Toimumisaeg: P, 02.09.2018 kell 11:00</v>
      </c>
      <c r="Y2" s="56" t="s">
        <v>449</v>
      </c>
      <c r="AE2" s="56" t="s">
        <v>449</v>
      </c>
    </row>
    <row r="3" spans="1:42" x14ac:dyDescent="0.2">
      <c r="A3" s="2" t="str">
        <f>"Toimumiskoht: "&amp;(Kalend!F41)</f>
        <v>Toimumiskoht: Voka staadion</v>
      </c>
      <c r="G3" s="1337"/>
      <c r="H3" s="1337"/>
      <c r="I3" s="1338" t="s">
        <v>446</v>
      </c>
      <c r="J3" s="659">
        <v>1</v>
      </c>
      <c r="K3" s="188" t="s">
        <v>493</v>
      </c>
    </row>
    <row r="4" spans="1:42" x14ac:dyDescent="0.2">
      <c r="A4" s="2" t="str">
        <f>"Korraldaja: "&amp;(Kalend!G41)</f>
        <v>Korraldaja: Johannes Neiland</v>
      </c>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22" t="s">
        <v>480</v>
      </c>
      <c r="C8" s="1323">
        <v>13</v>
      </c>
      <c r="D8" s="1324" t="s">
        <v>211</v>
      </c>
      <c r="E8" s="1325">
        <v>4</v>
      </c>
      <c r="F8" s="1315" t="str">
        <f>B15</f>
        <v>Ronald Jõeäär, Urmas Jõeäär</v>
      </c>
      <c r="G8" s="1323">
        <v>13</v>
      </c>
      <c r="H8" s="1324" t="s">
        <v>211</v>
      </c>
      <c r="I8" s="1325">
        <v>8</v>
      </c>
      <c r="J8" s="1315" t="str">
        <f>B12</f>
        <v>Elmo Lageda, Tõnu Piik</v>
      </c>
      <c r="K8" s="1323">
        <v>13</v>
      </c>
      <c r="L8" s="1324" t="s">
        <v>211</v>
      </c>
      <c r="M8" s="1325">
        <v>8</v>
      </c>
      <c r="N8" s="1315" t="str">
        <f>B9</f>
        <v>Boriss Klubov, Tõnu Kapper</v>
      </c>
      <c r="O8" s="1323">
        <v>13</v>
      </c>
      <c r="P8" s="1324" t="s">
        <v>211</v>
      </c>
      <c r="Q8" s="1325">
        <v>1</v>
      </c>
      <c r="R8" s="1315" t="str">
        <f>B11</f>
        <v>Kenneth Muusikus, Meelis Luud</v>
      </c>
      <c r="S8" s="1323">
        <v>13</v>
      </c>
      <c r="T8" s="1324" t="s">
        <v>211</v>
      </c>
      <c r="U8" s="1325">
        <v>7</v>
      </c>
      <c r="V8" s="1315" t="str">
        <f>B13</f>
        <v>Enn Tokman, Johannes Neiland</v>
      </c>
      <c r="W8" s="1323"/>
      <c r="X8" s="1324" t="s">
        <v>211</v>
      </c>
      <c r="Y8" s="1325"/>
      <c r="Z8" s="1315"/>
      <c r="AA8" s="1330">
        <f t="shared" ref="AA8:AA21" si="0">IF(C8&gt;E8,J$3,IF(C8&lt;E8,J$5,IF(ISNUMBER(C8),J$4,0)))+IF(G8&gt;I8,J$3,IF(G8&lt;I8,J$5,IF(ISNUMBER(G8),J$4,0)))+IF(K8&gt;M8,J$3,IF(K8&lt;M8,J$5,IF(ISNUMBER(K8),J$4,0)))+IF(O8&gt;Q8,J$3,IF(O8&lt;Q8,J$5,IF(ISNUMBER(O8),J$4,0)))+IF(S8&gt;U8,J$3,IF(S8&lt;U8,J$5,IF(ISNUMBER(S8),J$4,0)))+IF(W8&gt;Y8,J$3,IF(W8&lt;Y8,J$5,IF(ISNUMBER(W8),J$4,0)))</f>
        <v>5</v>
      </c>
      <c r="AB8" s="1331"/>
      <c r="AC8" s="1323">
        <f t="shared" ref="AC8:AC18" si="1">C8+G8+K8+O8+S8+W8</f>
        <v>65</v>
      </c>
      <c r="AD8" s="1324" t="s">
        <v>211</v>
      </c>
      <c r="AE8" s="1326">
        <f t="shared" ref="AE8:AE18" si="2">E8+I8+M8+Q8+U8+Y8</f>
        <v>28</v>
      </c>
      <c r="AF8" s="1327">
        <f t="shared" ref="AF8:AF18" si="3">AC8-AE8</f>
        <v>37</v>
      </c>
      <c r="AG8" s="663"/>
      <c r="AH8" s="499">
        <f t="shared" ref="AH8" si="4">SUM(AJ8:AP8)</f>
        <v>87</v>
      </c>
      <c r="AI8" s="605" t="str">
        <f t="shared" ref="AI8:AI18" si="5">IFERROR(LEFT($B8,(FIND(",",$B8,1)-1)),"")</f>
        <v>Ivar Viljaste</v>
      </c>
      <c r="AJ8" s="604">
        <f>IFERROR(INDEX(V!$N:$N,MATCH(AI8,V!$I:$I,0)),"")</f>
        <v>59</v>
      </c>
      <c r="AK8" s="605" t="str">
        <f t="shared" ref="AK8:AK18" si="6">IFERROR(MID($B8,FIND(", ",$B8)+2,256),"")</f>
        <v>Kristo Viljaste</v>
      </c>
      <c r="AL8" s="604">
        <f>IFERROR(INDEX(V!$N:$N,MATCH(AK8,V!$I:$I,0)),"")</f>
        <v>28</v>
      </c>
      <c r="AM8" s="603" t="str">
        <f t="shared" ref="AM8:AM18" si="7">IFERROR(MID($B8,FIND("^",SUBSTITUTE($B8,", ","^",1))+2,FIND("^",SUBSTITUTE($B8,", ","^",2))-FIND("^",SUBSTITUTE($B8,", ","^",1))-2),"")</f>
        <v/>
      </c>
      <c r="AN8" s="604" t="str">
        <f>IFERROR(INDEX(V!$N:$N,MATCH(AM8,V!$I:$I,0)),"")</f>
        <v/>
      </c>
      <c r="AO8" s="603" t="str">
        <f t="shared" ref="AO8:AO18" si="8">IFERROR(MID($B8,FIND(", ",$B8,FIND(", ",$B8,FIND(", ",$B8))+1)+2,700),"")</f>
        <v/>
      </c>
      <c r="AP8" s="604" t="str">
        <f>IFERROR(INDEX(V!$N:$N,MATCH(AO8,V!$I:$I,0)),"")</f>
        <v/>
      </c>
    </row>
    <row r="9" spans="1:42" ht="12.75" customHeight="1" x14ac:dyDescent="0.2">
      <c r="A9" s="1319">
        <v>2</v>
      </c>
      <c r="B9" s="1322" t="s">
        <v>651</v>
      </c>
      <c r="C9" s="1323">
        <v>13</v>
      </c>
      <c r="D9" s="1324" t="s">
        <v>211</v>
      </c>
      <c r="E9" s="1325">
        <v>11</v>
      </c>
      <c r="F9" s="1315" t="str">
        <f>B21</f>
        <v>Andrei Grintšak, Daniil Alekankin</v>
      </c>
      <c r="G9" s="1323">
        <v>13</v>
      </c>
      <c r="H9" s="1324" t="s">
        <v>211</v>
      </c>
      <c r="I9" s="1325">
        <v>7</v>
      </c>
      <c r="J9" s="1315" t="str">
        <f>B17</f>
        <v>Karla Purgats, Lemmit Toomra</v>
      </c>
      <c r="K9" s="1323">
        <v>8</v>
      </c>
      <c r="L9" s="1324" t="s">
        <v>211</v>
      </c>
      <c r="M9" s="1325">
        <v>13</v>
      </c>
      <c r="N9" s="1315" t="str">
        <f>B8</f>
        <v>Ivar Viljaste, Kristo Viljaste</v>
      </c>
      <c r="O9" s="1323">
        <v>13</v>
      </c>
      <c r="P9" s="1324" t="s">
        <v>211</v>
      </c>
      <c r="Q9" s="1325">
        <v>8</v>
      </c>
      <c r="R9" s="1315" t="str">
        <f>B12</f>
        <v>Elmo Lageda, Tõnu Piik</v>
      </c>
      <c r="S9" s="1323">
        <v>13</v>
      </c>
      <c r="T9" s="1324" t="s">
        <v>211</v>
      </c>
      <c r="U9" s="1325">
        <v>9</v>
      </c>
      <c r="V9" s="1315" t="str">
        <f>B15</f>
        <v>Ronald Jõeäär, Urmas Jõeäär</v>
      </c>
      <c r="W9" s="1323"/>
      <c r="X9" s="1324" t="s">
        <v>211</v>
      </c>
      <c r="Y9" s="1325"/>
      <c r="Z9" s="1315"/>
      <c r="AA9" s="1330">
        <f t="shared" si="0"/>
        <v>4</v>
      </c>
      <c r="AB9" s="1331"/>
      <c r="AC9" s="1323">
        <f t="shared" si="1"/>
        <v>60</v>
      </c>
      <c r="AD9" s="1324" t="s">
        <v>211</v>
      </c>
      <c r="AE9" s="1326">
        <f t="shared" si="2"/>
        <v>48</v>
      </c>
      <c r="AF9" s="1327">
        <f t="shared" si="3"/>
        <v>12</v>
      </c>
      <c r="AG9" s="663"/>
      <c r="AH9" s="499">
        <f t="shared" ref="AH9:AH18" si="9">SUM(AJ9:AP9)</f>
        <v>130</v>
      </c>
      <c r="AI9" s="605" t="str">
        <f t="shared" si="5"/>
        <v>Boriss Klubov</v>
      </c>
      <c r="AJ9" s="604">
        <f>IFERROR(INDEX(V!$N:$N,MATCH(AI9,V!$I:$I,0)),"")</f>
        <v>65</v>
      </c>
      <c r="AK9" s="605" t="str">
        <f t="shared" si="6"/>
        <v>Tõnu Kapper</v>
      </c>
      <c r="AL9" s="604">
        <f>IFERROR(INDEX(V!$N:$N,MATCH(AK9,V!$I:$I,0)),"")</f>
        <v>65</v>
      </c>
      <c r="AM9" s="603" t="str">
        <f t="shared" si="7"/>
        <v/>
      </c>
      <c r="AN9" s="604" t="str">
        <f>IFERROR(INDEX(V!$N:$N,MATCH(AM9,V!$I:$I,0)),"")</f>
        <v/>
      </c>
      <c r="AO9" s="603" t="str">
        <f t="shared" si="8"/>
        <v/>
      </c>
      <c r="AP9" s="604" t="str">
        <f>IFERROR(INDEX(V!$N:$N,MATCH(AO9,V!$I:$I,0)),"")</f>
        <v/>
      </c>
    </row>
    <row r="10" spans="1:42" ht="12.75" customHeight="1" x14ac:dyDescent="0.2">
      <c r="A10" s="1319">
        <v>3</v>
      </c>
      <c r="B10" s="1328" t="s">
        <v>483</v>
      </c>
      <c r="C10" s="1323">
        <v>13</v>
      </c>
      <c r="D10" s="1324" t="s">
        <v>211</v>
      </c>
      <c r="E10" s="1325">
        <v>1</v>
      </c>
      <c r="F10" s="1315" t="str">
        <f>B16</f>
        <v>Argo Sepp, Jaan Sepp</v>
      </c>
      <c r="G10" s="1323">
        <v>2</v>
      </c>
      <c r="H10" s="1324" t="s">
        <v>211</v>
      </c>
      <c r="I10" s="1325">
        <v>13</v>
      </c>
      <c r="J10" s="1315" t="str">
        <f>B13</f>
        <v>Enn Tokman, Johannes Neiland</v>
      </c>
      <c r="K10" s="1323">
        <v>12</v>
      </c>
      <c r="L10" s="1324" t="s">
        <v>211</v>
      </c>
      <c r="M10" s="1325">
        <v>13</v>
      </c>
      <c r="N10" s="1315" t="str">
        <f>B12</f>
        <v>Elmo Lageda, Tõnu Piik</v>
      </c>
      <c r="O10" s="1323">
        <v>13</v>
      </c>
      <c r="P10" s="1324" t="s">
        <v>211</v>
      </c>
      <c r="Q10" s="1325">
        <v>1</v>
      </c>
      <c r="R10" s="1315" t="str">
        <f>B14</f>
        <v>Toomas Tedrekull, Urmas Randlaine</v>
      </c>
      <c r="S10" s="1323">
        <v>13</v>
      </c>
      <c r="T10" s="1324" t="s">
        <v>211</v>
      </c>
      <c r="U10" s="1325">
        <v>6</v>
      </c>
      <c r="V10" s="1315" t="str">
        <f>B11</f>
        <v>Kenneth Muusikus, Meelis Luud</v>
      </c>
      <c r="W10" s="1323"/>
      <c r="X10" s="1324" t="s">
        <v>211</v>
      </c>
      <c r="Y10" s="1325"/>
      <c r="Z10" s="1315"/>
      <c r="AA10" s="1335">
        <f t="shared" si="0"/>
        <v>3</v>
      </c>
      <c r="AB10" s="1331"/>
      <c r="AC10" s="1323">
        <f t="shared" si="1"/>
        <v>53</v>
      </c>
      <c r="AD10" s="1324" t="s">
        <v>211</v>
      </c>
      <c r="AE10" s="1326">
        <f t="shared" si="2"/>
        <v>34</v>
      </c>
      <c r="AF10" s="1327">
        <f t="shared" si="3"/>
        <v>19</v>
      </c>
      <c r="AG10" s="663"/>
      <c r="AH10" s="499">
        <f t="shared" si="9"/>
        <v>56.5</v>
      </c>
      <c r="AI10" s="605" t="str">
        <f t="shared" si="5"/>
        <v>Aarne Välja</v>
      </c>
      <c r="AJ10" s="604">
        <f>IFERROR(INDEX(V!$N:$N,MATCH(AI10,V!$I:$I,0)),"")</f>
        <v>22</v>
      </c>
      <c r="AK10" s="605" t="str">
        <f t="shared" si="6"/>
        <v>Janek Tarto</v>
      </c>
      <c r="AL10" s="604">
        <f>IFERROR(INDEX(V!$N:$N,MATCH(AK10,V!$I:$I,0)),"")</f>
        <v>34.5</v>
      </c>
      <c r="AM10" s="603" t="str">
        <f t="shared" si="7"/>
        <v/>
      </c>
      <c r="AN10" s="604" t="str">
        <f>IFERROR(INDEX(V!$N:$N,MATCH(AM10,V!$I:$I,0)),"")</f>
        <v/>
      </c>
      <c r="AO10" s="603" t="str">
        <f t="shared" si="8"/>
        <v/>
      </c>
      <c r="AP10" s="604" t="str">
        <f>IFERROR(INDEX(V!$N:$N,MATCH(AO10,V!$I:$I,0)),"")</f>
        <v/>
      </c>
    </row>
    <row r="11" spans="1:42" ht="12.75" customHeight="1" x14ac:dyDescent="0.2">
      <c r="A11" s="1319">
        <v>4</v>
      </c>
      <c r="B11" s="1328" t="s">
        <v>595</v>
      </c>
      <c r="C11" s="1323">
        <v>13</v>
      </c>
      <c r="D11" s="1324" t="s">
        <v>211</v>
      </c>
      <c r="E11" s="1325">
        <v>6</v>
      </c>
      <c r="F11" s="1315" t="str">
        <f>B18</f>
        <v>Illar Tõnurist, Jaan Saar, Tarmo Bombe</v>
      </c>
      <c r="G11" s="1323">
        <v>13</v>
      </c>
      <c r="H11" s="1324" t="s">
        <v>211</v>
      </c>
      <c r="I11" s="1325">
        <v>6</v>
      </c>
      <c r="J11" s="1315" t="str">
        <f>B14</f>
        <v>Toomas Tedrekull, Urmas Randlaine</v>
      </c>
      <c r="K11" s="1323">
        <v>13</v>
      </c>
      <c r="L11" s="1324" t="s">
        <v>211</v>
      </c>
      <c r="M11" s="1325">
        <v>4</v>
      </c>
      <c r="N11" s="1315" t="str">
        <f>B13</f>
        <v>Enn Tokman, Johannes Neiland</v>
      </c>
      <c r="O11" s="1323">
        <v>1</v>
      </c>
      <c r="P11" s="1324" t="s">
        <v>211</v>
      </c>
      <c r="Q11" s="1325">
        <v>13</v>
      </c>
      <c r="R11" s="1315" t="str">
        <f>B8</f>
        <v>Ivar Viljaste, Kristo Viljaste</v>
      </c>
      <c r="S11" s="1323">
        <v>6</v>
      </c>
      <c r="T11" s="1324" t="s">
        <v>211</v>
      </c>
      <c r="U11" s="1325">
        <v>13</v>
      </c>
      <c r="V11" s="1315" t="str">
        <f>B10</f>
        <v>Aarne Välja, Janek Tarto</v>
      </c>
      <c r="W11" s="1323"/>
      <c r="X11" s="1324" t="s">
        <v>211</v>
      </c>
      <c r="Y11" s="1325"/>
      <c r="Z11" s="1315"/>
      <c r="AA11" s="1335">
        <f t="shared" si="0"/>
        <v>3</v>
      </c>
      <c r="AB11" s="1331"/>
      <c r="AC11" s="1323">
        <f t="shared" si="1"/>
        <v>46</v>
      </c>
      <c r="AD11" s="1324" t="s">
        <v>211</v>
      </c>
      <c r="AE11" s="1326">
        <f t="shared" si="2"/>
        <v>42</v>
      </c>
      <c r="AF11" s="1327">
        <f t="shared" si="3"/>
        <v>4</v>
      </c>
      <c r="AG11" s="663"/>
      <c r="AH11" s="499">
        <f t="shared" si="9"/>
        <v>147.5</v>
      </c>
      <c r="AI11" s="605" t="str">
        <f t="shared" si="5"/>
        <v>Kenneth Muusikus</v>
      </c>
      <c r="AJ11" s="604">
        <f>IFERROR(INDEX(V!$N:$N,MATCH(AI11,V!$I:$I,0)),"")</f>
        <v>87</v>
      </c>
      <c r="AK11" s="605" t="str">
        <f t="shared" si="6"/>
        <v>Meelis Luud</v>
      </c>
      <c r="AL11" s="604">
        <f>IFERROR(INDEX(V!$N:$N,MATCH(AK11,V!$I:$I,0)),"")</f>
        <v>60.5</v>
      </c>
      <c r="AM11" s="603" t="str">
        <f t="shared" si="7"/>
        <v/>
      </c>
      <c r="AN11" s="604" t="str">
        <f>IFERROR(INDEX(V!$N:$N,MATCH(AM11,V!$I:$I,0)),"")</f>
        <v/>
      </c>
      <c r="AO11" s="603" t="str">
        <f t="shared" si="8"/>
        <v/>
      </c>
      <c r="AP11" s="604" t="str">
        <f>IFERROR(INDEX(V!$N:$N,MATCH(AO11,V!$I:$I,0)),"")</f>
        <v/>
      </c>
    </row>
    <row r="12" spans="1:42" ht="12.75" customHeight="1" x14ac:dyDescent="0.2">
      <c r="A12" s="1319">
        <v>5</v>
      </c>
      <c r="B12" s="1328" t="s">
        <v>33</v>
      </c>
      <c r="C12" s="1323">
        <v>13</v>
      </c>
      <c r="D12" s="1324" t="s">
        <v>211</v>
      </c>
      <c r="E12" s="1325">
        <v>3</v>
      </c>
      <c r="F12" s="1315" t="str">
        <f>B20</f>
        <v>Heino Reakainen, Jaanus Klement, Kuldar Kivestu</v>
      </c>
      <c r="G12" s="1323">
        <v>8</v>
      </c>
      <c r="H12" s="1324" t="s">
        <v>211</v>
      </c>
      <c r="I12" s="1325">
        <v>13</v>
      </c>
      <c r="J12" s="1315" t="str">
        <f>B8</f>
        <v>Ivar Viljaste, Kristo Viljaste</v>
      </c>
      <c r="K12" s="1323">
        <v>13</v>
      </c>
      <c r="L12" s="1324" t="s">
        <v>211</v>
      </c>
      <c r="M12" s="1325">
        <v>12</v>
      </c>
      <c r="N12" s="1315" t="str">
        <f>B10</f>
        <v>Aarne Välja, Janek Tarto</v>
      </c>
      <c r="O12" s="1323">
        <v>8</v>
      </c>
      <c r="P12" s="1324" t="s">
        <v>211</v>
      </c>
      <c r="Q12" s="1325">
        <v>13</v>
      </c>
      <c r="R12" s="1315" t="str">
        <f>B9</f>
        <v>Boriss Klubov, Tõnu Kapper</v>
      </c>
      <c r="S12" s="1323">
        <v>13</v>
      </c>
      <c r="T12" s="1324" t="s">
        <v>211</v>
      </c>
      <c r="U12" s="1325">
        <v>6</v>
      </c>
      <c r="V12" s="1315" t="str">
        <f>B16</f>
        <v>Argo Sepp, Jaan Sepp</v>
      </c>
      <c r="W12" s="1323"/>
      <c r="X12" s="1324" t="s">
        <v>211</v>
      </c>
      <c r="Y12" s="1325"/>
      <c r="Z12" s="1315"/>
      <c r="AA12" s="1335">
        <f t="shared" si="0"/>
        <v>3</v>
      </c>
      <c r="AB12" s="1331"/>
      <c r="AC12" s="1323">
        <f t="shared" si="1"/>
        <v>55</v>
      </c>
      <c r="AD12" s="1324" t="s">
        <v>211</v>
      </c>
      <c r="AE12" s="1326">
        <f t="shared" si="2"/>
        <v>47</v>
      </c>
      <c r="AF12" s="1327">
        <f t="shared" si="3"/>
        <v>8</v>
      </c>
      <c r="AG12" s="663"/>
      <c r="AH12" s="499">
        <f t="shared" si="9"/>
        <v>180</v>
      </c>
      <c r="AI12" s="605" t="str">
        <f t="shared" si="5"/>
        <v>Elmo Lageda</v>
      </c>
      <c r="AJ12" s="604">
        <f>IFERROR(INDEX(V!$N:$N,MATCH(AI12,V!$I:$I,0)),"")</f>
        <v>91</v>
      </c>
      <c r="AK12" s="605" t="str">
        <f t="shared" si="6"/>
        <v>Tõnu Piik</v>
      </c>
      <c r="AL12" s="604">
        <f>IFERROR(INDEX(V!$N:$N,MATCH(AK12,V!$I:$I,0)),"")</f>
        <v>89</v>
      </c>
      <c r="AM12" s="603" t="str">
        <f t="shared" si="7"/>
        <v/>
      </c>
      <c r="AN12" s="604" t="str">
        <f>IFERROR(INDEX(V!$N:$N,MATCH(AM12,V!$I:$I,0)),"")</f>
        <v/>
      </c>
      <c r="AO12" s="603" t="str">
        <f t="shared" si="8"/>
        <v/>
      </c>
      <c r="AP12" s="604" t="str">
        <f>IFERROR(INDEX(V!$N:$N,MATCH(AO12,V!$I:$I,0)),"")</f>
        <v/>
      </c>
    </row>
    <row r="13" spans="1:42" ht="12.75" customHeight="1" x14ac:dyDescent="0.2">
      <c r="A13" s="1319">
        <v>5</v>
      </c>
      <c r="B13" s="1328" t="s">
        <v>652</v>
      </c>
      <c r="C13" s="1323">
        <v>13</v>
      </c>
      <c r="D13" s="1324" t="s">
        <v>211</v>
      </c>
      <c r="E13" s="1325">
        <v>1</v>
      </c>
      <c r="F13" s="1315" t="str">
        <f>B19</f>
        <v>Henri Mitt, Melika Lehtla</v>
      </c>
      <c r="G13" s="1323">
        <v>13</v>
      </c>
      <c r="H13" s="1324" t="s">
        <v>211</v>
      </c>
      <c r="I13" s="1325">
        <v>2</v>
      </c>
      <c r="J13" s="1315" t="str">
        <f>B10</f>
        <v>Aarne Välja, Janek Tarto</v>
      </c>
      <c r="K13" s="1323">
        <v>4</v>
      </c>
      <c r="L13" s="1324" t="s">
        <v>211</v>
      </c>
      <c r="M13" s="1325">
        <v>13</v>
      </c>
      <c r="N13" s="1315" t="str">
        <f>B11</f>
        <v>Kenneth Muusikus, Meelis Luud</v>
      </c>
      <c r="O13" s="1323">
        <v>13</v>
      </c>
      <c r="P13" s="1324" t="s">
        <v>211</v>
      </c>
      <c r="Q13" s="1325">
        <v>9</v>
      </c>
      <c r="R13" s="1315" t="str">
        <f>B15</f>
        <v>Ronald Jõeäär, Urmas Jõeäär</v>
      </c>
      <c r="S13" s="1323">
        <v>7</v>
      </c>
      <c r="T13" s="1324" t="s">
        <v>211</v>
      </c>
      <c r="U13" s="1325">
        <v>13</v>
      </c>
      <c r="V13" s="1315" t="str">
        <f>B8</f>
        <v>Ivar Viljaste, Kristo Viljaste</v>
      </c>
      <c r="W13" s="1323"/>
      <c r="X13" s="1324" t="s">
        <v>211</v>
      </c>
      <c r="Y13" s="1325"/>
      <c r="Z13" s="1315"/>
      <c r="AA13" s="1335">
        <f t="shared" si="0"/>
        <v>3</v>
      </c>
      <c r="AB13" s="1331"/>
      <c r="AC13" s="1323">
        <f t="shared" si="1"/>
        <v>50</v>
      </c>
      <c r="AD13" s="1324" t="s">
        <v>211</v>
      </c>
      <c r="AE13" s="1326">
        <f t="shared" si="2"/>
        <v>38</v>
      </c>
      <c r="AF13" s="1327">
        <f t="shared" si="3"/>
        <v>12</v>
      </c>
      <c r="AG13" s="663"/>
      <c r="AH13" s="499">
        <f t="shared" si="9"/>
        <v>98.5</v>
      </c>
      <c r="AI13" s="605" t="str">
        <f t="shared" si="5"/>
        <v>Enn Tokman</v>
      </c>
      <c r="AJ13" s="604">
        <f>IFERROR(INDEX(V!$N:$N,MATCH(AI13,V!$I:$I,0)),"")</f>
        <v>39.5</v>
      </c>
      <c r="AK13" s="605" t="str">
        <f t="shared" si="6"/>
        <v>Johannes Neiland</v>
      </c>
      <c r="AL13" s="604">
        <f>IFERROR(INDEX(V!$N:$N,MATCH(AK13,V!$I:$I,0)),"")</f>
        <v>59</v>
      </c>
      <c r="AM13" s="603" t="str">
        <f t="shared" si="7"/>
        <v/>
      </c>
      <c r="AN13" s="604" t="str">
        <f>IFERROR(INDEX(V!$N:$N,MATCH(AM13,V!$I:$I,0)),"")</f>
        <v/>
      </c>
      <c r="AO13" s="603" t="str">
        <f t="shared" si="8"/>
        <v/>
      </c>
      <c r="AP13" s="604" t="str">
        <f>IFERROR(INDEX(V!$N:$N,MATCH(AO13,V!$I:$I,0)),"")</f>
        <v/>
      </c>
    </row>
    <row r="14" spans="1:42" ht="12.75" customHeight="1" x14ac:dyDescent="0.2">
      <c r="A14" s="1319">
        <v>7</v>
      </c>
      <c r="B14" s="1328" t="s">
        <v>653</v>
      </c>
      <c r="C14" s="1323">
        <v>13</v>
      </c>
      <c r="D14" s="1324" t="s">
        <v>211</v>
      </c>
      <c r="E14" s="1325">
        <v>9</v>
      </c>
      <c r="F14" s="1315" t="str">
        <f>B17</f>
        <v>Karla Purgats, Lemmit Toomra</v>
      </c>
      <c r="G14" s="1323">
        <v>6</v>
      </c>
      <c r="H14" s="1324" t="s">
        <v>211</v>
      </c>
      <c r="I14" s="1325">
        <v>13</v>
      </c>
      <c r="J14" s="1315" t="str">
        <f>B11</f>
        <v>Kenneth Muusikus, Meelis Luud</v>
      </c>
      <c r="K14" s="1323">
        <v>13</v>
      </c>
      <c r="L14" s="1324" t="s">
        <v>211</v>
      </c>
      <c r="M14" s="1325">
        <v>8</v>
      </c>
      <c r="N14" s="1315" t="str">
        <f>B16</f>
        <v>Argo Sepp, Jaan Sepp</v>
      </c>
      <c r="O14" s="1323">
        <v>1</v>
      </c>
      <c r="P14" s="1324" t="s">
        <v>211</v>
      </c>
      <c r="Q14" s="1325">
        <v>13</v>
      </c>
      <c r="R14" s="1315" t="str">
        <f>B10</f>
        <v>Aarne Välja, Janek Tarto</v>
      </c>
      <c r="S14" s="1323">
        <v>13</v>
      </c>
      <c r="T14" s="1324" t="s">
        <v>211</v>
      </c>
      <c r="U14" s="1325">
        <v>6</v>
      </c>
      <c r="V14" s="1315" t="str">
        <f>B18</f>
        <v>Illar Tõnurist, Jaan Saar, Tarmo Bombe</v>
      </c>
      <c r="W14" s="1323"/>
      <c r="X14" s="1324" t="s">
        <v>211</v>
      </c>
      <c r="Y14" s="1325"/>
      <c r="Z14" s="1315"/>
      <c r="AA14" s="1335">
        <f t="shared" si="0"/>
        <v>3</v>
      </c>
      <c r="AB14" s="1331"/>
      <c r="AC14" s="1323">
        <f t="shared" si="1"/>
        <v>46</v>
      </c>
      <c r="AD14" s="1324" t="s">
        <v>211</v>
      </c>
      <c r="AE14" s="1326">
        <f t="shared" si="2"/>
        <v>49</v>
      </c>
      <c r="AF14" s="1327">
        <f t="shared" si="3"/>
        <v>-3</v>
      </c>
      <c r="AG14" s="663"/>
      <c r="AH14" s="499">
        <f t="shared" si="9"/>
        <v>61.5</v>
      </c>
      <c r="AI14" s="605" t="str">
        <f t="shared" si="5"/>
        <v>Toomas Tedrekull</v>
      </c>
      <c r="AJ14" s="604">
        <f>IFERROR(INDEX(V!$N:$N,MATCH(AI14,V!$I:$I,0)),"")</f>
        <v>8</v>
      </c>
      <c r="AK14" s="605" t="str">
        <f t="shared" si="6"/>
        <v>Urmas Randlaine</v>
      </c>
      <c r="AL14" s="604">
        <f>IFERROR(INDEX(V!$N:$N,MATCH(AK14,V!$I:$I,0)),"")</f>
        <v>53.5</v>
      </c>
      <c r="AM14" s="603" t="str">
        <f t="shared" si="7"/>
        <v/>
      </c>
      <c r="AN14" s="604" t="str">
        <f>IFERROR(INDEX(V!$N:$N,MATCH(AM14,V!$I:$I,0)),"")</f>
        <v/>
      </c>
      <c r="AO14" s="603" t="str">
        <f t="shared" si="8"/>
        <v/>
      </c>
      <c r="AP14" s="604" t="str">
        <f>IFERROR(INDEX(V!$N:$N,MATCH(AO14,V!$I:$I,0)),"")</f>
        <v/>
      </c>
    </row>
    <row r="15" spans="1:42" ht="12.75" customHeight="1" x14ac:dyDescent="0.2">
      <c r="A15" s="1319">
        <v>8</v>
      </c>
      <c r="B15" s="1328" t="s">
        <v>613</v>
      </c>
      <c r="C15" s="1323">
        <v>4</v>
      </c>
      <c r="D15" s="1324" t="s">
        <v>211</v>
      </c>
      <c r="E15" s="1325">
        <v>13</v>
      </c>
      <c r="F15" s="1315" t="str">
        <f>B8</f>
        <v>Ivar Viljaste, Kristo Viljaste</v>
      </c>
      <c r="G15" s="1323">
        <v>13</v>
      </c>
      <c r="H15" s="1324" t="s">
        <v>211</v>
      </c>
      <c r="I15" s="1325">
        <v>7</v>
      </c>
      <c r="J15" s="1315" t="str">
        <f>B20</f>
        <v>Heino Reakainen, Jaanus Klement, Kuldar Kivestu</v>
      </c>
      <c r="K15" s="1323">
        <v>13</v>
      </c>
      <c r="L15" s="1324" t="s">
        <v>211</v>
      </c>
      <c r="M15" s="1325">
        <v>3</v>
      </c>
      <c r="N15" s="1315" t="str">
        <f>B18</f>
        <v>Illar Tõnurist, Jaan Saar, Tarmo Bombe</v>
      </c>
      <c r="O15" s="1323">
        <v>9</v>
      </c>
      <c r="P15" s="1324" t="s">
        <v>211</v>
      </c>
      <c r="Q15" s="1325">
        <v>13</v>
      </c>
      <c r="R15" s="1315" t="str">
        <f>B13</f>
        <v>Enn Tokman, Johannes Neiland</v>
      </c>
      <c r="S15" s="1323">
        <v>9</v>
      </c>
      <c r="T15" s="1324" t="s">
        <v>211</v>
      </c>
      <c r="U15" s="1325">
        <v>13</v>
      </c>
      <c r="V15" s="1315" t="str">
        <f>B9</f>
        <v>Boriss Klubov, Tõnu Kapper</v>
      </c>
      <c r="W15" s="1323"/>
      <c r="X15" s="1324" t="s">
        <v>211</v>
      </c>
      <c r="Y15" s="1325"/>
      <c r="Z15" s="1315"/>
      <c r="AA15" s="1330">
        <f t="shared" si="0"/>
        <v>2</v>
      </c>
      <c r="AB15" s="1331"/>
      <c r="AC15" s="1323">
        <f t="shared" si="1"/>
        <v>48</v>
      </c>
      <c r="AD15" s="1324" t="s">
        <v>211</v>
      </c>
      <c r="AE15" s="1326">
        <f t="shared" si="2"/>
        <v>49</v>
      </c>
      <c r="AF15" s="1327">
        <f t="shared" si="3"/>
        <v>-1</v>
      </c>
      <c r="AG15" s="663"/>
      <c r="AH15" s="499">
        <f t="shared" si="9"/>
        <v>75.5</v>
      </c>
      <c r="AI15" s="605" t="str">
        <f t="shared" si="5"/>
        <v>Ronald Jõeäär</v>
      </c>
      <c r="AJ15" s="604">
        <f>IFERROR(INDEX(V!$N:$N,MATCH(AI15,V!$I:$I,0)),"")</f>
        <v>8</v>
      </c>
      <c r="AK15" s="605" t="str">
        <f t="shared" si="6"/>
        <v>Urmas Jõeäär</v>
      </c>
      <c r="AL15" s="604">
        <f>IFERROR(INDEX(V!$N:$N,MATCH(AK15,V!$I:$I,0)),"")</f>
        <v>67.5</v>
      </c>
      <c r="AM15" s="603" t="str">
        <f t="shared" si="7"/>
        <v/>
      </c>
      <c r="AN15" s="604" t="str">
        <f>IFERROR(INDEX(V!$N:$N,MATCH(AM15,V!$I:$I,0)),"")</f>
        <v/>
      </c>
      <c r="AO15" s="603" t="str">
        <f t="shared" si="8"/>
        <v/>
      </c>
      <c r="AP15" s="604" t="str">
        <f>IFERROR(INDEX(V!$N:$N,MATCH(AO15,V!$I:$I,0)),"")</f>
        <v/>
      </c>
    </row>
    <row r="16" spans="1:42" ht="12.75" customHeight="1" x14ac:dyDescent="0.2">
      <c r="A16" s="1319">
        <v>9</v>
      </c>
      <c r="B16" s="1328" t="s">
        <v>488</v>
      </c>
      <c r="C16" s="1323">
        <v>1</v>
      </c>
      <c r="D16" s="1324" t="s">
        <v>211</v>
      </c>
      <c r="E16" s="1325">
        <v>13</v>
      </c>
      <c r="F16" s="1315" t="str">
        <f>B10</f>
        <v>Aarne Välja, Janek Tarto</v>
      </c>
      <c r="G16" s="1323">
        <v>13</v>
      </c>
      <c r="H16" s="1324" t="s">
        <v>211</v>
      </c>
      <c r="I16" s="1325">
        <v>2</v>
      </c>
      <c r="J16" s="1315" t="str">
        <f>B19</f>
        <v>Henri Mitt, Melika Lehtla</v>
      </c>
      <c r="K16" s="1323">
        <v>8</v>
      </c>
      <c r="L16" s="1324" t="s">
        <v>211</v>
      </c>
      <c r="M16" s="1325">
        <v>13</v>
      </c>
      <c r="N16" s="1315" t="str">
        <f>B14</f>
        <v>Toomas Tedrekull, Urmas Randlaine</v>
      </c>
      <c r="O16" s="1323">
        <v>13</v>
      </c>
      <c r="P16" s="1324" t="s">
        <v>211</v>
      </c>
      <c r="Q16" s="1325">
        <v>5</v>
      </c>
      <c r="R16" s="1315" t="str">
        <f>B21</f>
        <v>Andrei Grintšak, Daniil Alekankin</v>
      </c>
      <c r="S16" s="1323">
        <v>6</v>
      </c>
      <c r="T16" s="1324" t="s">
        <v>211</v>
      </c>
      <c r="U16" s="1325">
        <v>13</v>
      </c>
      <c r="V16" s="1315" t="str">
        <f>B12</f>
        <v>Elmo Lageda, Tõnu Piik</v>
      </c>
      <c r="W16" s="1323"/>
      <c r="X16" s="1324" t="s">
        <v>211</v>
      </c>
      <c r="Y16" s="1325"/>
      <c r="Z16" s="1315"/>
      <c r="AA16" s="1330">
        <f t="shared" si="0"/>
        <v>2</v>
      </c>
      <c r="AB16" s="1331"/>
      <c r="AC16" s="1323">
        <f t="shared" si="1"/>
        <v>41</v>
      </c>
      <c r="AD16" s="1324" t="s">
        <v>211</v>
      </c>
      <c r="AE16" s="1326">
        <f t="shared" si="2"/>
        <v>46</v>
      </c>
      <c r="AF16" s="1327">
        <f t="shared" si="3"/>
        <v>-5</v>
      </c>
      <c r="AG16" s="663"/>
      <c r="AH16" s="499">
        <f t="shared" si="9"/>
        <v>129</v>
      </c>
      <c r="AI16" s="605" t="str">
        <f t="shared" si="5"/>
        <v>Argo Sepp</v>
      </c>
      <c r="AJ16" s="604">
        <f>IFERROR(INDEX(V!$N:$N,MATCH(AI16,V!$I:$I,0)),"")</f>
        <v>31</v>
      </c>
      <c r="AK16" s="605" t="str">
        <f t="shared" si="6"/>
        <v>Jaan Sepp</v>
      </c>
      <c r="AL16" s="604">
        <f>IFERROR(INDEX(V!$N:$N,MATCH(AK16,V!$I:$I,0)),"")</f>
        <v>98</v>
      </c>
      <c r="AM16" s="603" t="str">
        <f t="shared" si="7"/>
        <v/>
      </c>
      <c r="AN16" s="604" t="str">
        <f>IFERROR(INDEX(V!$N:$N,MATCH(AM16,V!$I:$I,0)),"")</f>
        <v/>
      </c>
      <c r="AO16" s="603" t="str">
        <f t="shared" si="8"/>
        <v/>
      </c>
      <c r="AP16" s="604" t="str">
        <f>IFERROR(INDEX(V!$N:$N,MATCH(AO16,V!$I:$I,0)),"")</f>
        <v/>
      </c>
    </row>
    <row r="17" spans="1:42" ht="12.75" customHeight="1" x14ac:dyDescent="0.2">
      <c r="A17" s="1319">
        <v>9</v>
      </c>
      <c r="B17" s="1322" t="s">
        <v>441</v>
      </c>
      <c r="C17" s="1323">
        <v>9</v>
      </c>
      <c r="D17" s="1324" t="s">
        <v>211</v>
      </c>
      <c r="E17" s="1325">
        <v>13</v>
      </c>
      <c r="F17" s="1315" t="str">
        <f>B14</f>
        <v>Toomas Tedrekull, Urmas Randlaine</v>
      </c>
      <c r="G17" s="1323">
        <v>7</v>
      </c>
      <c r="H17" s="1324" t="s">
        <v>211</v>
      </c>
      <c r="I17" s="1325">
        <v>13</v>
      </c>
      <c r="J17" s="1315" t="str">
        <f>B9</f>
        <v>Boriss Klubov, Tõnu Kapper</v>
      </c>
      <c r="K17" s="1323">
        <v>11</v>
      </c>
      <c r="L17" s="1324" t="s">
        <v>211</v>
      </c>
      <c r="M17" s="1325">
        <v>13</v>
      </c>
      <c r="N17" s="1315" t="str">
        <f>B21</f>
        <v>Andrei Grintšak, Daniil Alekankin</v>
      </c>
      <c r="O17" s="1323">
        <v>13</v>
      </c>
      <c r="P17" s="1324" t="s">
        <v>211</v>
      </c>
      <c r="Q17" s="1325">
        <v>6</v>
      </c>
      <c r="R17" s="1315" t="str">
        <f>B20</f>
        <v>Heino Reakainen, Jaanus Klement, Kuldar Kivestu</v>
      </c>
      <c r="S17" s="1323">
        <v>13</v>
      </c>
      <c r="T17" s="1324" t="s">
        <v>211</v>
      </c>
      <c r="U17" s="1325">
        <v>11</v>
      </c>
      <c r="V17" s="1315" t="str">
        <f>B19</f>
        <v>Henri Mitt, Melika Lehtla</v>
      </c>
      <c r="W17" s="1323"/>
      <c r="X17" s="1324" t="s">
        <v>211</v>
      </c>
      <c r="Y17" s="1325"/>
      <c r="Z17" s="1315"/>
      <c r="AA17" s="1330">
        <f t="shared" si="0"/>
        <v>2</v>
      </c>
      <c r="AB17" s="1331"/>
      <c r="AC17" s="1323">
        <f t="shared" si="1"/>
        <v>53</v>
      </c>
      <c r="AD17" s="1324" t="s">
        <v>211</v>
      </c>
      <c r="AE17" s="1326">
        <f t="shared" si="2"/>
        <v>56</v>
      </c>
      <c r="AF17" s="1327">
        <f t="shared" si="3"/>
        <v>-3</v>
      </c>
      <c r="AG17" s="663"/>
      <c r="AH17" s="499">
        <f t="shared" si="9"/>
        <v>92</v>
      </c>
      <c r="AI17" s="605" t="str">
        <f t="shared" si="5"/>
        <v>Karla Purgats</v>
      </c>
      <c r="AJ17" s="604">
        <f>IFERROR(INDEX(V!$N:$N,MATCH(AI17,V!$I:$I,0)),"")</f>
        <v>46.5</v>
      </c>
      <c r="AK17" s="605" t="str">
        <f t="shared" si="6"/>
        <v>Lemmit Toomra</v>
      </c>
      <c r="AL17" s="604">
        <f>IFERROR(INDEX(V!$N:$N,MATCH(AK17,V!$I:$I,0)),"")</f>
        <v>45.5</v>
      </c>
      <c r="AM17" s="603" t="str">
        <f t="shared" si="7"/>
        <v/>
      </c>
      <c r="AN17" s="604" t="str">
        <f>IFERROR(INDEX(V!$N:$N,MATCH(AM17,V!$I:$I,0)),"")</f>
        <v/>
      </c>
      <c r="AO17" s="603" t="str">
        <f t="shared" si="8"/>
        <v/>
      </c>
      <c r="AP17" s="604" t="str">
        <f>IFERROR(INDEX(V!$N:$N,MATCH(AO17,V!$I:$I,0)),"")</f>
        <v/>
      </c>
    </row>
    <row r="18" spans="1:42" ht="12.75" customHeight="1" x14ac:dyDescent="0.2">
      <c r="A18" s="1319">
        <v>11</v>
      </c>
      <c r="B18" s="1329" t="s">
        <v>660</v>
      </c>
      <c r="C18" s="1323">
        <v>6</v>
      </c>
      <c r="D18" s="1324" t="s">
        <v>211</v>
      </c>
      <c r="E18" s="1325">
        <v>13</v>
      </c>
      <c r="F18" s="1315" t="str">
        <f>B11</f>
        <v>Kenneth Muusikus, Meelis Luud</v>
      </c>
      <c r="G18" s="1323">
        <v>13</v>
      </c>
      <c r="H18" s="1324" t="s">
        <v>211</v>
      </c>
      <c r="I18" s="1325">
        <v>9</v>
      </c>
      <c r="J18" s="1315" t="str">
        <f>B21</f>
        <v>Andrei Grintšak, Daniil Alekankin</v>
      </c>
      <c r="K18" s="1323">
        <v>3</v>
      </c>
      <c r="L18" s="1324" t="s">
        <v>211</v>
      </c>
      <c r="M18" s="1325">
        <v>13</v>
      </c>
      <c r="N18" s="1315" t="str">
        <f>B15</f>
        <v>Ronald Jõeäär, Urmas Jõeäär</v>
      </c>
      <c r="O18" s="1323">
        <v>13</v>
      </c>
      <c r="P18" s="1324" t="s">
        <v>211</v>
      </c>
      <c r="Q18" s="1325">
        <v>3</v>
      </c>
      <c r="R18" s="1315" t="str">
        <f>B19</f>
        <v>Henri Mitt, Melika Lehtla</v>
      </c>
      <c r="S18" s="1323">
        <v>6</v>
      </c>
      <c r="T18" s="1324" t="s">
        <v>211</v>
      </c>
      <c r="U18" s="1325">
        <v>13</v>
      </c>
      <c r="V18" s="1315" t="str">
        <f>B14</f>
        <v>Toomas Tedrekull, Urmas Randlaine</v>
      </c>
      <c r="W18" s="1323"/>
      <c r="X18" s="1324" t="s">
        <v>211</v>
      </c>
      <c r="Y18" s="1325"/>
      <c r="Z18" s="1315"/>
      <c r="AA18" s="1330">
        <f t="shared" si="0"/>
        <v>2</v>
      </c>
      <c r="AB18" s="1331"/>
      <c r="AC18" s="1323">
        <f t="shared" si="1"/>
        <v>41</v>
      </c>
      <c r="AD18" s="1324" t="s">
        <v>211</v>
      </c>
      <c r="AE18" s="1326">
        <f t="shared" si="2"/>
        <v>51</v>
      </c>
      <c r="AF18" s="1327">
        <f t="shared" si="3"/>
        <v>-10</v>
      </c>
      <c r="AG18" s="663"/>
      <c r="AH18" s="499">
        <f t="shared" si="9"/>
        <v>54</v>
      </c>
      <c r="AI18" s="605" t="str">
        <f t="shared" si="5"/>
        <v>Illar Tõnurist</v>
      </c>
      <c r="AJ18" s="604">
        <f>IFERROR(INDEX(V!$N:$N,MATCH(AI18,V!$I:$I,0)),"")</f>
        <v>14</v>
      </c>
      <c r="AK18" s="605" t="str">
        <f t="shared" si="6"/>
        <v>Jaan Saar, Tarmo Bombe</v>
      </c>
      <c r="AL18" s="604" t="str">
        <f>IFERROR(INDEX(V!$N:$N,MATCH(AK18,V!$I:$I,0)),"")</f>
        <v/>
      </c>
      <c r="AM18" s="603" t="str">
        <f t="shared" si="7"/>
        <v>Jaan Saar</v>
      </c>
      <c r="AN18" s="604">
        <f>IFERROR(INDEX(V!$N:$N,MATCH(AM18,V!$I:$I,0)),"")</f>
        <v>14</v>
      </c>
      <c r="AO18" s="603" t="str">
        <f t="shared" si="8"/>
        <v>Tarmo Bombe</v>
      </c>
      <c r="AP18" s="604">
        <f>IFERROR(INDEX(V!$N:$N,MATCH(AO18,V!$I:$I,0)),"")</f>
        <v>26</v>
      </c>
    </row>
    <row r="19" spans="1:42" ht="12.75" customHeight="1" x14ac:dyDescent="0.2">
      <c r="A19" s="1319">
        <v>12</v>
      </c>
      <c r="B19" s="1329" t="s">
        <v>654</v>
      </c>
      <c r="C19" s="1323">
        <v>1</v>
      </c>
      <c r="D19" s="1324" t="s">
        <v>211</v>
      </c>
      <c r="E19" s="1325">
        <v>13</v>
      </c>
      <c r="F19" s="1315" t="str">
        <f>B13</f>
        <v>Enn Tokman, Johannes Neiland</v>
      </c>
      <c r="G19" s="1323">
        <v>2</v>
      </c>
      <c r="H19" s="1324" t="s">
        <v>211</v>
      </c>
      <c r="I19" s="1325">
        <v>13</v>
      </c>
      <c r="J19" s="1315" t="str">
        <f>B16</f>
        <v>Argo Sepp, Jaan Sepp</v>
      </c>
      <c r="K19" s="1323">
        <v>13</v>
      </c>
      <c r="L19" s="1324" t="s">
        <v>211</v>
      </c>
      <c r="M19" s="1325">
        <v>6</v>
      </c>
      <c r="N19" s="1315" t="str">
        <f>B20</f>
        <v>Heino Reakainen, Jaanus Klement, Kuldar Kivestu</v>
      </c>
      <c r="O19" s="1323">
        <v>3</v>
      </c>
      <c r="P19" s="1324" t="s">
        <v>211</v>
      </c>
      <c r="Q19" s="1325">
        <v>13</v>
      </c>
      <c r="R19" s="1315" t="str">
        <f>B18</f>
        <v>Illar Tõnurist, Jaan Saar, Tarmo Bombe</v>
      </c>
      <c r="S19" s="1323">
        <v>11</v>
      </c>
      <c r="T19" s="1324" t="s">
        <v>211</v>
      </c>
      <c r="U19" s="1325">
        <v>13</v>
      </c>
      <c r="V19" s="1315" t="str">
        <f>B17</f>
        <v>Karla Purgats, Lemmit Toomra</v>
      </c>
      <c r="W19" s="1323"/>
      <c r="X19" s="1324" t="s">
        <v>211</v>
      </c>
      <c r="Y19" s="1325"/>
      <c r="Z19" s="1315"/>
      <c r="AA19" s="1335">
        <f t="shared" si="0"/>
        <v>1</v>
      </c>
      <c r="AB19" s="1331"/>
      <c r="AC19" s="1323">
        <f t="shared" ref="AC19:AC21" si="10">C19+G19+K19+O19+S19+W19</f>
        <v>30</v>
      </c>
      <c r="AD19" s="1324" t="s">
        <v>211</v>
      </c>
      <c r="AE19" s="1326">
        <f t="shared" ref="AE19:AE21" si="11">E19+I19+M19+Q19+U19+Y19</f>
        <v>58</v>
      </c>
      <c r="AF19" s="1327">
        <f t="shared" ref="AF19:AF21" si="12">AC19-AE19</f>
        <v>-28</v>
      </c>
      <c r="AG19" s="663"/>
      <c r="AH19" s="499">
        <f t="shared" ref="AH19:AH21" si="13">SUM(AJ19:AP19)</f>
        <v>66.5</v>
      </c>
      <c r="AI19" s="605" t="str">
        <f t="shared" ref="AI19:AI21" si="14">IFERROR(LEFT($B19,(FIND(",",$B19,1)-1)),"")</f>
        <v>Henri Mitt</v>
      </c>
      <c r="AJ19" s="604">
        <f>IFERROR(INDEX(V!$N:$N,MATCH(AI19,V!$I:$I,0)),"")</f>
        <v>46.5</v>
      </c>
      <c r="AK19" s="605" t="str">
        <f t="shared" ref="AK19:AK21" si="15">IFERROR(MID($B19,FIND(", ",$B19)+2,256),"")</f>
        <v>Melika Lehtla</v>
      </c>
      <c r="AL19" s="604">
        <f>IFERROR(INDEX(V!$N:$N,MATCH(AK19,V!$I:$I,0)),"")</f>
        <v>20</v>
      </c>
      <c r="AM19" s="603" t="str">
        <f t="shared" ref="AM19:AM21" si="16">IFERROR(MID($B19,FIND("^",SUBSTITUTE($B19,", ","^",1))+2,FIND("^",SUBSTITUTE($B19,", ","^",2))-FIND("^",SUBSTITUTE($B19,", ","^",1))-2),"")</f>
        <v/>
      </c>
      <c r="AN19" s="604" t="str">
        <f>IFERROR(INDEX(V!$N:$N,MATCH(AM19,V!$I:$I,0)),"")</f>
        <v/>
      </c>
      <c r="AO19" s="603" t="str">
        <f t="shared" ref="AO19:AO21" si="17">IFERROR(MID($B19,FIND(", ",$B19,FIND(", ",$B19,FIND(", ",$B19))+1)+2,700),"")</f>
        <v/>
      </c>
      <c r="AP19" s="604" t="str">
        <f>IFERROR(INDEX(V!$N:$N,MATCH(AO19,V!$I:$I,0)),"")</f>
        <v/>
      </c>
    </row>
    <row r="20" spans="1:42" ht="12.75" customHeight="1" x14ac:dyDescent="0.2">
      <c r="A20" s="1319">
        <v>13</v>
      </c>
      <c r="B20" s="1329" t="s">
        <v>655</v>
      </c>
      <c r="C20" s="1323">
        <v>3</v>
      </c>
      <c r="D20" s="1324" t="s">
        <v>211</v>
      </c>
      <c r="E20" s="1325">
        <v>13</v>
      </c>
      <c r="F20" s="1315" t="str">
        <f>B12</f>
        <v>Elmo Lageda, Tõnu Piik</v>
      </c>
      <c r="G20" s="1323">
        <v>7</v>
      </c>
      <c r="H20" s="1324" t="s">
        <v>211</v>
      </c>
      <c r="I20" s="1325">
        <v>13</v>
      </c>
      <c r="J20" s="1315" t="str">
        <f>B15</f>
        <v>Ronald Jõeäär, Urmas Jõeäär</v>
      </c>
      <c r="K20" s="1323">
        <v>6</v>
      </c>
      <c r="L20" s="1324" t="s">
        <v>211</v>
      </c>
      <c r="M20" s="1325">
        <v>13</v>
      </c>
      <c r="N20" s="1315" t="str">
        <f>B19</f>
        <v>Henri Mitt, Melika Lehtla</v>
      </c>
      <c r="O20" s="1323">
        <v>6</v>
      </c>
      <c r="P20" s="1324" t="s">
        <v>211</v>
      </c>
      <c r="Q20" s="1325">
        <v>13</v>
      </c>
      <c r="R20" s="1315" t="str">
        <f>B17</f>
        <v>Karla Purgats, Lemmit Toomra</v>
      </c>
      <c r="S20" s="1323">
        <v>13</v>
      </c>
      <c r="T20" s="1324" t="s">
        <v>211</v>
      </c>
      <c r="U20" s="1325">
        <v>1</v>
      </c>
      <c r="V20" s="1315" t="str">
        <f>B21</f>
        <v>Andrei Grintšak, Daniil Alekankin</v>
      </c>
      <c r="W20" s="1323"/>
      <c r="X20" s="1324" t="s">
        <v>211</v>
      </c>
      <c r="Y20" s="1325"/>
      <c r="Z20" s="1315"/>
      <c r="AA20" s="1335">
        <f t="shared" si="0"/>
        <v>1</v>
      </c>
      <c r="AB20" s="1331"/>
      <c r="AC20" s="1323">
        <f t="shared" si="10"/>
        <v>35</v>
      </c>
      <c r="AD20" s="1324" t="s">
        <v>211</v>
      </c>
      <c r="AE20" s="1326">
        <f t="shared" si="11"/>
        <v>53</v>
      </c>
      <c r="AF20" s="1327">
        <f t="shared" si="12"/>
        <v>-18</v>
      </c>
      <c r="AG20" s="663"/>
      <c r="AH20" s="499">
        <f t="shared" si="13"/>
        <v>6</v>
      </c>
      <c r="AI20" s="605" t="str">
        <f t="shared" si="14"/>
        <v>Heino Reakainen</v>
      </c>
      <c r="AJ20" s="604">
        <f>IFERROR(INDEX(V!$N:$N,MATCH(AI20,V!$I:$I,0)),"")</f>
        <v>2</v>
      </c>
      <c r="AK20" s="605" t="str">
        <f t="shared" si="15"/>
        <v>Jaanus Klement, Kuldar Kivestu</v>
      </c>
      <c r="AL20" s="604" t="str">
        <f>IFERROR(INDEX(V!$N:$N,MATCH(AK20,V!$I:$I,0)),"")</f>
        <v/>
      </c>
      <c r="AM20" s="603" t="str">
        <f t="shared" si="16"/>
        <v>Jaanus Klement</v>
      </c>
      <c r="AN20" s="604">
        <f>IFERROR(INDEX(V!$N:$N,MATCH(AM20,V!$I:$I,0)),"")</f>
        <v>2</v>
      </c>
      <c r="AO20" s="603" t="str">
        <f t="shared" si="17"/>
        <v>Kuldar Kivestu</v>
      </c>
      <c r="AP20" s="604">
        <f>IFERROR(INDEX(V!$N:$N,MATCH(AO20,V!$I:$I,0)),"")</f>
        <v>2</v>
      </c>
    </row>
    <row r="21" spans="1:42" ht="12.75" customHeight="1" x14ac:dyDescent="0.2">
      <c r="A21" s="1319">
        <v>14</v>
      </c>
      <c r="B21" s="1329" t="s">
        <v>482</v>
      </c>
      <c r="C21" s="1323">
        <v>11</v>
      </c>
      <c r="D21" s="1324" t="s">
        <v>211</v>
      </c>
      <c r="E21" s="1325">
        <v>13</v>
      </c>
      <c r="F21" s="1315" t="str">
        <f>B9</f>
        <v>Boriss Klubov, Tõnu Kapper</v>
      </c>
      <c r="G21" s="1323">
        <v>9</v>
      </c>
      <c r="H21" s="1324" t="s">
        <v>211</v>
      </c>
      <c r="I21" s="1325">
        <v>13</v>
      </c>
      <c r="J21" s="1315" t="str">
        <f>B18</f>
        <v>Illar Tõnurist, Jaan Saar, Tarmo Bombe</v>
      </c>
      <c r="K21" s="1323">
        <v>13</v>
      </c>
      <c r="L21" s="1324" t="s">
        <v>211</v>
      </c>
      <c r="M21" s="1325">
        <v>11</v>
      </c>
      <c r="N21" s="1315" t="str">
        <f>B17</f>
        <v>Karla Purgats, Lemmit Toomra</v>
      </c>
      <c r="O21" s="1323">
        <v>5</v>
      </c>
      <c r="P21" s="1324" t="s">
        <v>211</v>
      </c>
      <c r="Q21" s="1325">
        <v>13</v>
      </c>
      <c r="R21" s="1315" t="str">
        <f>B16</f>
        <v>Argo Sepp, Jaan Sepp</v>
      </c>
      <c r="S21" s="1323">
        <v>1</v>
      </c>
      <c r="T21" s="1324" t="s">
        <v>211</v>
      </c>
      <c r="U21" s="1325">
        <v>13</v>
      </c>
      <c r="V21" s="1315" t="str">
        <f>B20</f>
        <v>Heino Reakainen, Jaanus Klement, Kuldar Kivestu</v>
      </c>
      <c r="W21" s="1323"/>
      <c r="X21" s="1324" t="s">
        <v>211</v>
      </c>
      <c r="Y21" s="1325"/>
      <c r="Z21" s="1315"/>
      <c r="AA21" s="1335">
        <f t="shared" si="0"/>
        <v>1</v>
      </c>
      <c r="AB21" s="1331"/>
      <c r="AC21" s="1323">
        <f t="shared" si="10"/>
        <v>39</v>
      </c>
      <c r="AD21" s="1324" t="s">
        <v>211</v>
      </c>
      <c r="AE21" s="1326">
        <f t="shared" si="11"/>
        <v>63</v>
      </c>
      <c r="AF21" s="1327">
        <f t="shared" si="12"/>
        <v>-24</v>
      </c>
      <c r="AG21" s="663"/>
      <c r="AH21" s="499">
        <f t="shared" si="13"/>
        <v>40</v>
      </c>
      <c r="AI21" s="605" t="str">
        <f t="shared" si="14"/>
        <v>Andrei Grintšak</v>
      </c>
      <c r="AJ21" s="604">
        <f>IFERROR(INDEX(V!$N:$N,MATCH(AI21,V!$I:$I,0)),"")</f>
        <v>33.5</v>
      </c>
      <c r="AK21" s="605" t="str">
        <f t="shared" si="15"/>
        <v>Daniil Alekankin</v>
      </c>
      <c r="AL21" s="604">
        <f>IFERROR(INDEX(V!$N:$N,MATCH(AK21,V!$I:$I,0)),"")</f>
        <v>6.5</v>
      </c>
      <c r="AM21" s="603" t="str">
        <f t="shared" si="16"/>
        <v/>
      </c>
      <c r="AN21" s="604" t="str">
        <f>IFERROR(INDEX(V!$N:$N,MATCH(AM21,V!$I:$I,0)),"")</f>
        <v/>
      </c>
      <c r="AO21" s="603" t="str">
        <f t="shared" si="17"/>
        <v/>
      </c>
      <c r="AP21" s="604" t="str">
        <f>IFERROR(INDEX(V!$N:$N,MATCH(AO21,V!$I:$I,0)),"")</f>
        <v/>
      </c>
    </row>
    <row r="22" spans="1:42" ht="12.75" hidden="1" customHeight="1" x14ac:dyDescent="0.2">
      <c r="L22" s="32"/>
      <c r="M22" s="32"/>
      <c r="N22" s="32"/>
      <c r="T22" s="32"/>
      <c r="U22" s="32"/>
      <c r="V22" s="32"/>
      <c r="W22" s="223"/>
    </row>
    <row r="23" spans="1:42" ht="12.75" hidden="1" customHeight="1" x14ac:dyDescent="0.2">
      <c r="K23" s="42"/>
      <c r="L23" s="32"/>
      <c r="M23" s="32"/>
      <c r="N23" s="32"/>
      <c r="T23" s="32"/>
      <c r="U23" s="32"/>
      <c r="V23" s="32"/>
      <c r="W23" s="223"/>
    </row>
    <row r="24" spans="1:42" ht="12.75" hidden="1" customHeight="1" x14ac:dyDescent="0.2">
      <c r="K24" s="42"/>
      <c r="L24" s="32"/>
      <c r="M24" s="32"/>
      <c r="N24" s="32"/>
      <c r="T24" s="32"/>
      <c r="U24" s="32"/>
      <c r="V24" s="32"/>
      <c r="W24" s="223"/>
    </row>
    <row r="25" spans="1:42" ht="12.75" hidden="1" customHeight="1" x14ac:dyDescent="0.2">
      <c r="K25" s="42"/>
      <c r="L25" s="32"/>
      <c r="M25" s="32"/>
      <c r="N25" s="32"/>
      <c r="T25" s="32"/>
      <c r="U25" s="32"/>
      <c r="V25" s="32"/>
      <c r="W25" s="223"/>
    </row>
    <row r="26" spans="1:42" ht="12.75" hidden="1" customHeight="1" x14ac:dyDescent="0.2">
      <c r="L26" s="32"/>
      <c r="M26" s="32"/>
      <c r="N26" s="32"/>
      <c r="T26" s="32"/>
      <c r="U26" s="32"/>
      <c r="V26" s="32"/>
      <c r="W26" s="223"/>
    </row>
    <row r="27" spans="1:42" ht="12.75" hidden="1" customHeight="1" x14ac:dyDescent="0.2">
      <c r="L27" s="32"/>
      <c r="M27" s="32"/>
      <c r="N27" s="32"/>
      <c r="T27" s="32"/>
      <c r="U27" s="32"/>
      <c r="V27" s="32"/>
      <c r="W27" s="223"/>
    </row>
    <row r="28" spans="1:42" ht="12.75" hidden="1" customHeight="1" x14ac:dyDescent="0.2">
      <c r="L28" s="32"/>
      <c r="M28" s="32"/>
      <c r="N28" s="32"/>
      <c r="T28" s="32"/>
      <c r="U28" s="32"/>
      <c r="V28" s="32"/>
      <c r="W28" s="223"/>
    </row>
    <row r="29" spans="1:42" ht="12.75" hidden="1" customHeight="1" x14ac:dyDescent="0.2">
      <c r="L29" s="32"/>
      <c r="M29" s="32"/>
      <c r="N29" s="32"/>
      <c r="T29" s="32"/>
      <c r="U29" s="32"/>
      <c r="V29" s="32"/>
      <c r="W29" s="223"/>
    </row>
    <row r="30" spans="1:42" ht="12.75" hidden="1" customHeight="1" x14ac:dyDescent="0.2">
      <c r="L30" s="32"/>
      <c r="M30" s="32"/>
      <c r="N30" s="32"/>
      <c r="T30" s="32"/>
      <c r="U30" s="32"/>
      <c r="V30" s="32"/>
      <c r="W30" s="223"/>
    </row>
    <row r="31" spans="1:42" ht="12.75" hidden="1" customHeight="1" x14ac:dyDescent="0.2">
      <c r="L31" s="32"/>
      <c r="M31" s="32"/>
      <c r="N31" s="32"/>
      <c r="T31" s="32"/>
      <c r="U31" s="32"/>
      <c r="V31" s="32"/>
      <c r="W31" s="223"/>
    </row>
    <row r="32" spans="1:42" ht="12.75" hidden="1" customHeight="1" x14ac:dyDescent="0.2">
      <c r="L32" s="32"/>
      <c r="M32" s="32"/>
      <c r="N32" s="32"/>
      <c r="T32" s="32"/>
      <c r="U32" s="32"/>
      <c r="V32" s="32"/>
      <c r="W32" s="223"/>
    </row>
    <row r="33" spans="12:23" ht="12.75" hidden="1" customHeight="1" x14ac:dyDescent="0.2">
      <c r="L33" s="32"/>
      <c r="M33" s="32"/>
      <c r="N33" s="32"/>
      <c r="T33" s="32"/>
      <c r="U33" s="32"/>
      <c r="V33" s="32"/>
      <c r="W33" s="223"/>
    </row>
    <row r="34" spans="12:23" ht="12.75" hidden="1" customHeight="1" x14ac:dyDescent="0.2">
      <c r="L34" s="32"/>
      <c r="M34" s="32"/>
      <c r="N34" s="32"/>
      <c r="T34" s="32"/>
      <c r="U34" s="32"/>
      <c r="V34" s="32"/>
      <c r="W34" s="223"/>
    </row>
    <row r="35" spans="12:23" ht="12.75" hidden="1" customHeight="1" x14ac:dyDescent="0.2">
      <c r="L35" s="32"/>
      <c r="M35" s="32"/>
      <c r="N35" s="32"/>
      <c r="T35" s="32"/>
      <c r="U35" s="32"/>
      <c r="V35" s="32"/>
      <c r="W35" s="223"/>
    </row>
    <row r="36" spans="12:23" ht="12.75" hidden="1" customHeight="1" x14ac:dyDescent="0.2">
      <c r="L36" s="32"/>
      <c r="M36" s="32"/>
      <c r="N36" s="32"/>
      <c r="T36" s="32"/>
      <c r="U36" s="32"/>
      <c r="V36" s="32"/>
      <c r="W36" s="223"/>
    </row>
    <row r="37" spans="12:23" ht="12.75" hidden="1" customHeight="1" x14ac:dyDescent="0.2">
      <c r="L37" s="32"/>
      <c r="M37" s="32"/>
      <c r="N37" s="32"/>
      <c r="T37" s="32"/>
      <c r="U37" s="32"/>
      <c r="V37" s="32"/>
      <c r="W37" s="223"/>
    </row>
    <row r="38" spans="12:23" ht="12.75" hidden="1" customHeight="1" x14ac:dyDescent="0.2">
      <c r="L38" s="32"/>
      <c r="M38" s="32"/>
      <c r="N38" s="32"/>
      <c r="T38" s="32"/>
      <c r="U38" s="32"/>
      <c r="V38" s="32"/>
      <c r="W38" s="223"/>
    </row>
    <row r="39" spans="12:23" ht="12.75" hidden="1" customHeight="1" x14ac:dyDescent="0.2">
      <c r="L39" s="32"/>
      <c r="M39" s="32"/>
      <c r="N39" s="32"/>
      <c r="T39" s="32"/>
      <c r="U39" s="32"/>
      <c r="V39" s="32"/>
      <c r="W39" s="223"/>
    </row>
    <row r="40" spans="12:23" ht="12.75" hidden="1" customHeight="1" x14ac:dyDescent="0.2">
      <c r="L40" s="32"/>
      <c r="M40" s="32"/>
      <c r="N40" s="32"/>
      <c r="T40" s="32"/>
      <c r="U40" s="32"/>
      <c r="V40" s="32"/>
      <c r="W40" s="223"/>
    </row>
    <row r="41" spans="12:23" ht="12.75" hidden="1" customHeight="1" x14ac:dyDescent="0.2">
      <c r="L41" s="32"/>
      <c r="M41" s="32"/>
      <c r="N41" s="32"/>
      <c r="T41" s="32"/>
      <c r="U41" s="32"/>
      <c r="V41" s="32"/>
      <c r="W41" s="223"/>
    </row>
    <row r="42" spans="12:23" ht="12.75" hidden="1" customHeight="1" x14ac:dyDescent="0.2">
      <c r="L42" s="32"/>
      <c r="M42" s="32"/>
      <c r="N42" s="32"/>
      <c r="T42" s="32"/>
      <c r="U42" s="32"/>
      <c r="V42" s="32"/>
      <c r="W42" s="223"/>
    </row>
    <row r="43" spans="12:23" ht="12.75" hidden="1" customHeight="1" x14ac:dyDescent="0.2">
      <c r="L43" s="32"/>
      <c r="M43" s="32"/>
      <c r="N43" s="32"/>
      <c r="T43" s="32"/>
      <c r="U43" s="32"/>
      <c r="V43" s="32"/>
      <c r="W43" s="223"/>
    </row>
    <row r="44" spans="12:23" ht="12.75" hidden="1" customHeight="1" x14ac:dyDescent="0.2">
      <c r="L44" s="32"/>
      <c r="M44" s="32"/>
      <c r="N44" s="32"/>
      <c r="T44" s="32"/>
      <c r="U44" s="32"/>
      <c r="V44" s="32"/>
      <c r="W44" s="223"/>
    </row>
    <row r="45" spans="12:23" ht="12.75" hidden="1" customHeight="1" x14ac:dyDescent="0.2">
      <c r="L45" s="32"/>
      <c r="M45" s="32"/>
      <c r="N45" s="32"/>
      <c r="T45" s="32"/>
      <c r="U45" s="32"/>
      <c r="V45" s="32"/>
      <c r="W45" s="223"/>
    </row>
    <row r="46" spans="12:23" ht="12.75" hidden="1" customHeight="1" x14ac:dyDescent="0.2">
      <c r="L46" s="32"/>
      <c r="M46" s="32"/>
      <c r="N46" s="32"/>
      <c r="T46" s="32"/>
      <c r="U46" s="32"/>
      <c r="V46" s="32"/>
      <c r="W46" s="223"/>
    </row>
    <row r="47" spans="12:23" ht="12.75" hidden="1" customHeight="1" x14ac:dyDescent="0.2">
      <c r="L47" s="32"/>
      <c r="M47" s="32"/>
      <c r="N47" s="32"/>
      <c r="T47" s="32"/>
      <c r="U47" s="32"/>
      <c r="V47" s="32"/>
      <c r="W47" s="223"/>
    </row>
    <row r="48" spans="12:23" ht="12.75" hidden="1" customHeight="1" x14ac:dyDescent="0.2">
      <c r="L48" s="32"/>
      <c r="M48" s="32"/>
      <c r="N48" s="32"/>
      <c r="T48" s="32"/>
      <c r="U48" s="32"/>
      <c r="V48" s="32"/>
      <c r="W48" s="223"/>
    </row>
    <row r="49" spans="12:23" ht="12.75" hidden="1" customHeight="1" x14ac:dyDescent="0.2">
      <c r="L49" s="32"/>
      <c r="M49" s="32"/>
      <c r="N49" s="32"/>
      <c r="T49" s="32"/>
      <c r="U49" s="32"/>
      <c r="V49" s="32"/>
      <c r="W49" s="223"/>
    </row>
    <row r="50" spans="12:23" ht="12.75" hidden="1" customHeight="1" x14ac:dyDescent="0.2">
      <c r="L50" s="32"/>
      <c r="M50" s="32"/>
      <c r="N50" s="32"/>
      <c r="T50" s="32"/>
      <c r="U50" s="32"/>
      <c r="V50" s="32"/>
      <c r="W50" s="223"/>
    </row>
    <row r="51" spans="12:23" ht="12.75" hidden="1" customHeight="1" x14ac:dyDescent="0.2">
      <c r="L51" s="32"/>
      <c r="M51" s="32"/>
      <c r="N51" s="32"/>
      <c r="T51" s="32"/>
      <c r="U51" s="32"/>
      <c r="V51" s="32"/>
      <c r="W51" s="223"/>
    </row>
    <row r="52" spans="12:23" ht="12.75" hidden="1" customHeight="1" x14ac:dyDescent="0.2">
      <c r="L52" s="32"/>
      <c r="M52" s="32"/>
      <c r="N52" s="32"/>
      <c r="T52" s="32"/>
      <c r="U52" s="32"/>
      <c r="V52" s="32"/>
      <c r="W52" s="223"/>
    </row>
    <row r="53" spans="12:23" ht="12.75" hidden="1" customHeight="1" x14ac:dyDescent="0.2">
      <c r="L53" s="32"/>
      <c r="M53" s="32"/>
      <c r="N53" s="32"/>
      <c r="T53" s="32"/>
      <c r="U53" s="32"/>
      <c r="V53" s="32"/>
      <c r="W53" s="223"/>
    </row>
    <row r="54" spans="12:23" ht="12.75" hidden="1" customHeight="1" x14ac:dyDescent="0.2">
      <c r="L54" s="32"/>
      <c r="M54" s="32"/>
      <c r="N54" s="32"/>
      <c r="T54" s="32"/>
      <c r="U54" s="32"/>
      <c r="V54" s="32"/>
      <c r="W54" s="223"/>
    </row>
    <row r="55" spans="12:23" ht="12.75" hidden="1" customHeight="1" x14ac:dyDescent="0.2">
      <c r="L55" s="32"/>
      <c r="M55" s="32"/>
      <c r="N55" s="32"/>
      <c r="T55" s="32"/>
      <c r="U55" s="32"/>
      <c r="V55" s="32"/>
      <c r="W55" s="223"/>
    </row>
    <row r="56" spans="12:23" ht="12.75" hidden="1" customHeight="1" x14ac:dyDescent="0.2">
      <c r="L56" s="32"/>
      <c r="M56" s="32"/>
      <c r="N56" s="32"/>
      <c r="T56" s="32"/>
      <c r="U56" s="32"/>
      <c r="V56" s="32"/>
      <c r="W56" s="223"/>
    </row>
    <row r="57" spans="12:23" ht="12.75" hidden="1" customHeight="1" x14ac:dyDescent="0.2">
      <c r="L57" s="32"/>
      <c r="M57" s="32"/>
      <c r="N57" s="32"/>
      <c r="T57" s="32"/>
      <c r="U57" s="32"/>
      <c r="V57" s="32"/>
      <c r="W57" s="223"/>
    </row>
    <row r="58" spans="12:23" ht="12.75" hidden="1" customHeight="1" x14ac:dyDescent="0.2">
      <c r="L58" s="32"/>
      <c r="M58" s="32"/>
      <c r="N58" s="32"/>
      <c r="T58" s="32"/>
      <c r="U58" s="32"/>
      <c r="V58" s="32"/>
      <c r="W58" s="223"/>
    </row>
    <row r="59" spans="12:23" ht="12.75" hidden="1" customHeight="1" x14ac:dyDescent="0.2">
      <c r="L59" s="32"/>
      <c r="M59" s="32"/>
      <c r="N59" s="32"/>
      <c r="T59" s="32"/>
      <c r="U59" s="32"/>
      <c r="V59" s="32"/>
      <c r="W59" s="223"/>
    </row>
    <row r="60" spans="12:23" ht="12.75" hidden="1" customHeight="1" x14ac:dyDescent="0.2">
      <c r="L60" s="32"/>
      <c r="M60" s="32"/>
      <c r="N60" s="32"/>
      <c r="T60" s="32"/>
      <c r="U60" s="32"/>
      <c r="V60" s="32"/>
      <c r="W60" s="223"/>
    </row>
    <row r="61" spans="12:23" ht="12.75" hidden="1" customHeight="1" x14ac:dyDescent="0.2">
      <c r="L61" s="32"/>
      <c r="M61" s="32"/>
      <c r="N61" s="32"/>
      <c r="T61" s="32"/>
      <c r="U61" s="32"/>
      <c r="V61" s="32"/>
      <c r="W61" s="223"/>
    </row>
    <row r="62" spans="12:23" ht="12.75" hidden="1" customHeight="1" x14ac:dyDescent="0.2">
      <c r="L62" s="32"/>
      <c r="M62" s="32"/>
      <c r="N62" s="32"/>
      <c r="T62" s="32"/>
      <c r="U62" s="32"/>
      <c r="V62" s="32"/>
      <c r="W62" s="223"/>
    </row>
    <row r="63" spans="12:23" ht="12.75" hidden="1" customHeight="1" x14ac:dyDescent="0.2">
      <c r="L63" s="32"/>
      <c r="M63" s="32"/>
      <c r="N63" s="32"/>
      <c r="T63" s="32"/>
      <c r="U63" s="32"/>
      <c r="V63" s="32"/>
      <c r="W63" s="223"/>
    </row>
    <row r="64" spans="12:23" ht="12.75" hidden="1" customHeight="1" x14ac:dyDescent="0.2">
      <c r="L64" s="32"/>
      <c r="M64" s="32"/>
      <c r="N64" s="32"/>
      <c r="T64" s="32"/>
      <c r="U64" s="32"/>
      <c r="V64" s="32"/>
      <c r="W64" s="223"/>
    </row>
    <row r="65" spans="12:23" ht="12.75" hidden="1" customHeight="1" x14ac:dyDescent="0.2">
      <c r="L65" s="32"/>
      <c r="M65" s="32"/>
      <c r="N65" s="32"/>
      <c r="T65" s="32"/>
      <c r="U65" s="32"/>
      <c r="V65" s="32"/>
      <c r="W65" s="223"/>
    </row>
    <row r="66" spans="12:23" ht="12.75" hidden="1" customHeight="1" x14ac:dyDescent="0.2">
      <c r="L66" s="32"/>
      <c r="M66" s="32"/>
      <c r="N66" s="32"/>
      <c r="T66" s="32"/>
      <c r="U66" s="32"/>
      <c r="V66" s="32"/>
      <c r="W66" s="223"/>
    </row>
    <row r="67" spans="12:23" ht="12.75" hidden="1" customHeight="1" x14ac:dyDescent="0.2">
      <c r="L67" s="32"/>
      <c r="M67" s="32"/>
      <c r="N67" s="32"/>
      <c r="T67" s="32"/>
      <c r="U67" s="32"/>
      <c r="V67" s="32"/>
      <c r="W67" s="223"/>
    </row>
    <row r="68" spans="12:23" ht="12.75" hidden="1" customHeight="1" x14ac:dyDescent="0.2">
      <c r="L68" s="32"/>
      <c r="M68" s="32"/>
      <c r="N68" s="32"/>
      <c r="T68" s="32"/>
      <c r="U68" s="32"/>
      <c r="V68" s="32"/>
      <c r="W68" s="223"/>
    </row>
    <row r="69" spans="12:23" ht="12.75" hidden="1" customHeight="1" x14ac:dyDescent="0.2">
      <c r="L69" s="32"/>
      <c r="M69" s="32"/>
      <c r="N69" s="32"/>
      <c r="T69" s="32"/>
      <c r="U69" s="32"/>
      <c r="V69" s="32"/>
      <c r="W69" s="223"/>
    </row>
    <row r="70" spans="12:23" ht="12.75" hidden="1" customHeight="1" x14ac:dyDescent="0.2">
      <c r="L70" s="32"/>
      <c r="M70" s="32"/>
      <c r="N70" s="32"/>
      <c r="T70" s="32"/>
      <c r="U70" s="32"/>
      <c r="V70" s="32"/>
      <c r="W70" s="223"/>
    </row>
    <row r="71" spans="12:23" ht="12.75" hidden="1" customHeight="1" x14ac:dyDescent="0.2">
      <c r="L71" s="32"/>
      <c r="M71" s="32"/>
      <c r="N71" s="32"/>
      <c r="T71" s="32"/>
      <c r="U71" s="32"/>
      <c r="V71" s="32"/>
      <c r="W71" s="223"/>
    </row>
    <row r="72" spans="12:23" ht="12.75" hidden="1" customHeight="1" x14ac:dyDescent="0.2">
      <c r="L72" s="32"/>
      <c r="M72" s="32"/>
      <c r="N72" s="32"/>
      <c r="T72" s="32"/>
      <c r="U72" s="32"/>
      <c r="V72" s="32"/>
      <c r="W72" s="223"/>
    </row>
    <row r="73" spans="12:23" ht="12.75" hidden="1" customHeight="1" x14ac:dyDescent="0.2">
      <c r="L73" s="32"/>
      <c r="M73" s="32"/>
      <c r="N73" s="32"/>
      <c r="T73" s="32"/>
      <c r="U73" s="32"/>
      <c r="V73" s="32"/>
      <c r="W73" s="223"/>
    </row>
    <row r="74" spans="12:23" ht="12.75" hidden="1" customHeight="1" x14ac:dyDescent="0.2">
      <c r="L74" s="32"/>
      <c r="M74" s="32"/>
      <c r="N74" s="32"/>
      <c r="T74" s="32"/>
      <c r="U74" s="32"/>
      <c r="V74" s="32"/>
      <c r="W74" s="223"/>
    </row>
    <row r="75" spans="12:23" ht="12.75" hidden="1" customHeight="1" x14ac:dyDescent="0.2">
      <c r="L75" s="32"/>
      <c r="M75" s="32"/>
      <c r="N75" s="32"/>
      <c r="T75" s="32"/>
      <c r="U75" s="32"/>
      <c r="V75" s="32"/>
      <c r="W75" s="223"/>
    </row>
    <row r="76" spans="12:23" ht="12.75" hidden="1" customHeight="1" x14ac:dyDescent="0.2">
      <c r="L76" s="32"/>
      <c r="M76" s="32"/>
      <c r="N76" s="32"/>
      <c r="T76" s="32"/>
      <c r="U76" s="32"/>
      <c r="V76" s="32"/>
      <c r="W76" s="223"/>
    </row>
    <row r="77" spans="12:23" ht="12.75" hidden="1" customHeight="1" x14ac:dyDescent="0.2">
      <c r="L77" s="32"/>
      <c r="M77" s="32"/>
      <c r="N77" s="32"/>
      <c r="T77" s="32"/>
      <c r="U77" s="32"/>
      <c r="V77" s="32"/>
      <c r="W77" s="223"/>
    </row>
    <row r="78" spans="12:23" ht="12.75" hidden="1" customHeight="1" x14ac:dyDescent="0.2">
      <c r="L78" s="32"/>
      <c r="M78" s="32"/>
      <c r="N78" s="32"/>
      <c r="T78" s="32"/>
      <c r="U78" s="32"/>
      <c r="V78" s="32"/>
      <c r="W78" s="223"/>
    </row>
    <row r="79" spans="12:23" ht="12.75" hidden="1" customHeight="1" x14ac:dyDescent="0.2">
      <c r="L79" s="32"/>
      <c r="M79" s="32"/>
      <c r="N79" s="32"/>
      <c r="T79" s="32"/>
      <c r="U79" s="32"/>
      <c r="V79" s="32"/>
      <c r="W79" s="223"/>
    </row>
    <row r="80" spans="12:23" ht="12.75" hidden="1" customHeight="1" x14ac:dyDescent="0.2">
      <c r="L80" s="32"/>
      <c r="M80" s="32"/>
      <c r="N80" s="32"/>
      <c r="T80" s="32"/>
      <c r="U80" s="32"/>
      <c r="V80" s="32"/>
      <c r="W80" s="223"/>
    </row>
    <row r="81" spans="12:23" ht="12.75" hidden="1" customHeight="1" x14ac:dyDescent="0.2">
      <c r="L81" s="32"/>
      <c r="M81" s="32"/>
      <c r="N81" s="32"/>
      <c r="T81" s="32"/>
      <c r="U81" s="32"/>
      <c r="V81" s="32"/>
      <c r="W81" s="223"/>
    </row>
    <row r="82" spans="12:23" ht="12.75" hidden="1" customHeight="1" x14ac:dyDescent="0.2">
      <c r="L82" s="32"/>
      <c r="M82" s="32"/>
      <c r="N82" s="32"/>
      <c r="T82" s="32"/>
      <c r="U82" s="32"/>
      <c r="V82" s="32"/>
      <c r="W82" s="223"/>
    </row>
    <row r="83" spans="12:23" ht="12.75" hidden="1" customHeight="1" x14ac:dyDescent="0.2">
      <c r="L83" s="32"/>
      <c r="M83" s="32"/>
      <c r="N83" s="32"/>
      <c r="T83" s="32"/>
      <c r="U83" s="32"/>
      <c r="V83" s="32"/>
      <c r="W83" s="223"/>
    </row>
    <row r="84" spans="12:23" ht="12.75" hidden="1" customHeight="1" x14ac:dyDescent="0.2">
      <c r="L84" s="32"/>
      <c r="M84" s="32"/>
      <c r="N84" s="32"/>
      <c r="T84" s="32"/>
      <c r="U84" s="32"/>
      <c r="V84" s="32"/>
      <c r="W84" s="223"/>
    </row>
    <row r="85" spans="12:23" ht="12.75" hidden="1" customHeight="1" x14ac:dyDescent="0.2">
      <c r="L85" s="32"/>
      <c r="M85" s="32"/>
      <c r="N85" s="32"/>
      <c r="T85" s="32"/>
      <c r="U85" s="32"/>
      <c r="V85" s="32"/>
      <c r="W85" s="223"/>
    </row>
    <row r="86" spans="12:23" ht="12.75" hidden="1" customHeight="1" x14ac:dyDescent="0.2">
      <c r="L86" s="32"/>
      <c r="M86" s="32"/>
      <c r="N86" s="32"/>
      <c r="T86" s="32"/>
      <c r="U86" s="32"/>
      <c r="V86" s="32"/>
      <c r="W86" s="223"/>
    </row>
    <row r="87" spans="12:23" ht="12.75" hidden="1" customHeight="1" x14ac:dyDescent="0.2">
      <c r="L87" s="32"/>
      <c r="M87" s="32"/>
      <c r="N87" s="32"/>
      <c r="T87" s="32"/>
      <c r="U87" s="32"/>
      <c r="V87" s="32"/>
      <c r="W87" s="223"/>
    </row>
    <row r="88" spans="12:23" ht="12.75" hidden="1" customHeight="1" x14ac:dyDescent="0.2">
      <c r="L88" s="32"/>
      <c r="M88" s="32"/>
      <c r="N88" s="32"/>
      <c r="T88" s="32"/>
      <c r="U88" s="32"/>
      <c r="V88" s="32"/>
      <c r="W88" s="223"/>
    </row>
    <row r="89" spans="12:23" ht="12.75" hidden="1" customHeight="1" x14ac:dyDescent="0.2">
      <c r="L89" s="32"/>
      <c r="M89" s="32"/>
      <c r="N89" s="32"/>
      <c r="T89" s="32"/>
      <c r="U89" s="32"/>
      <c r="V89" s="32"/>
      <c r="W89" s="223"/>
    </row>
    <row r="90" spans="12:23" ht="12.75" hidden="1" customHeight="1" x14ac:dyDescent="0.2">
      <c r="L90" s="32"/>
      <c r="M90" s="32"/>
      <c r="N90" s="32"/>
      <c r="T90" s="32"/>
      <c r="U90" s="32"/>
      <c r="V90" s="32"/>
      <c r="W90" s="223"/>
    </row>
    <row r="91" spans="12:23" ht="12.75" hidden="1" customHeight="1" x14ac:dyDescent="0.2">
      <c r="L91" s="32"/>
      <c r="M91" s="32"/>
      <c r="N91" s="32"/>
      <c r="T91" s="32"/>
      <c r="U91" s="32"/>
      <c r="V91" s="32"/>
      <c r="W91" s="223"/>
    </row>
    <row r="92" spans="12:23" ht="12.75" hidden="1" customHeight="1" x14ac:dyDescent="0.2">
      <c r="L92" s="32"/>
      <c r="M92" s="32"/>
      <c r="N92" s="32"/>
      <c r="T92" s="32"/>
      <c r="U92" s="32"/>
      <c r="V92" s="32"/>
      <c r="W92" s="223"/>
    </row>
    <row r="93" spans="12:23" ht="12.75" hidden="1" customHeight="1" x14ac:dyDescent="0.2">
      <c r="L93" s="32"/>
      <c r="M93" s="32"/>
      <c r="N93" s="32"/>
      <c r="T93" s="32"/>
      <c r="U93" s="32"/>
      <c r="V93" s="32"/>
      <c r="W93" s="223"/>
    </row>
    <row r="94" spans="12:23" ht="12.75" hidden="1" customHeight="1" x14ac:dyDescent="0.2">
      <c r="L94" s="32"/>
      <c r="M94" s="32"/>
      <c r="N94" s="32"/>
      <c r="T94" s="32"/>
      <c r="U94" s="32"/>
      <c r="V94" s="32"/>
      <c r="W94" s="223"/>
    </row>
    <row r="95" spans="12:23" ht="12.75" hidden="1" customHeight="1" x14ac:dyDescent="0.2">
      <c r="L95" s="32"/>
      <c r="M95" s="32"/>
      <c r="N95" s="32"/>
      <c r="T95" s="32"/>
      <c r="U95" s="32"/>
      <c r="V95" s="32"/>
      <c r="W95" s="223"/>
    </row>
    <row r="96" spans="12:23" ht="12.75" hidden="1" customHeight="1" x14ac:dyDescent="0.2">
      <c r="L96" s="32"/>
      <c r="M96" s="32"/>
      <c r="N96" s="32"/>
      <c r="T96" s="32"/>
      <c r="U96" s="32"/>
      <c r="V96" s="32"/>
      <c r="W96" s="223"/>
    </row>
    <row r="97" spans="12:23" ht="12.75" hidden="1" customHeight="1" x14ac:dyDescent="0.2">
      <c r="L97" s="32"/>
      <c r="M97" s="32"/>
      <c r="N97" s="32"/>
      <c r="T97" s="32"/>
      <c r="U97" s="32"/>
      <c r="V97" s="32"/>
      <c r="W97" s="223"/>
    </row>
    <row r="98" spans="12:23" ht="12.75" hidden="1" customHeight="1" x14ac:dyDescent="0.2">
      <c r="L98" s="32"/>
      <c r="M98" s="32"/>
      <c r="N98" s="32"/>
      <c r="T98" s="32"/>
      <c r="U98" s="32"/>
      <c r="V98" s="32"/>
      <c r="W98" s="223"/>
    </row>
    <row r="99" spans="12:23" ht="12.75" hidden="1" customHeight="1" x14ac:dyDescent="0.2">
      <c r="L99" s="32"/>
      <c r="M99" s="32"/>
      <c r="N99" s="32"/>
      <c r="T99" s="32"/>
      <c r="U99" s="32"/>
      <c r="V99" s="32"/>
      <c r="W99" s="223"/>
    </row>
    <row r="100" spans="12:23" ht="12.75" hidden="1" customHeight="1" x14ac:dyDescent="0.2">
      <c r="L100" s="32"/>
      <c r="M100" s="32"/>
      <c r="N100" s="32"/>
      <c r="T100" s="32"/>
      <c r="U100" s="32"/>
      <c r="V100" s="32"/>
      <c r="W100" s="223"/>
    </row>
    <row r="101" spans="12:23" ht="12.75" hidden="1" customHeight="1" x14ac:dyDescent="0.2">
      <c r="L101" s="32"/>
      <c r="M101" s="32"/>
      <c r="N101" s="32"/>
      <c r="T101" s="32"/>
      <c r="U101" s="32"/>
      <c r="V101" s="32"/>
      <c r="W101" s="223"/>
    </row>
    <row r="102" spans="12:23" ht="12.75" hidden="1" customHeight="1" x14ac:dyDescent="0.2">
      <c r="L102" s="32"/>
      <c r="M102" s="32"/>
      <c r="N102" s="32"/>
      <c r="T102" s="32"/>
      <c r="U102" s="32"/>
      <c r="V102" s="32"/>
      <c r="W102" s="223"/>
    </row>
    <row r="103" spans="12:23" ht="12.75" hidden="1" customHeight="1" x14ac:dyDescent="0.2">
      <c r="L103" s="32"/>
      <c r="M103" s="32"/>
      <c r="N103" s="32"/>
      <c r="T103" s="32"/>
      <c r="U103" s="32"/>
      <c r="V103" s="32"/>
      <c r="W103" s="223"/>
    </row>
    <row r="104" spans="12:23" ht="12.75" hidden="1" customHeight="1" x14ac:dyDescent="0.2">
      <c r="L104" s="32"/>
      <c r="M104" s="32"/>
      <c r="N104" s="32"/>
      <c r="T104" s="32"/>
      <c r="U104" s="32"/>
      <c r="V104" s="32"/>
      <c r="W104" s="223"/>
    </row>
    <row r="105" spans="12:23" ht="12.75" hidden="1" customHeight="1" x14ac:dyDescent="0.2">
      <c r="L105" s="32"/>
      <c r="M105" s="32"/>
      <c r="N105" s="32"/>
      <c r="T105" s="32"/>
      <c r="U105" s="32"/>
      <c r="V105" s="32"/>
      <c r="W105" s="223"/>
    </row>
    <row r="106" spans="12:23" ht="12.75" hidden="1" customHeight="1" x14ac:dyDescent="0.2">
      <c r="L106" s="32"/>
      <c r="M106" s="32"/>
      <c r="N106" s="32"/>
      <c r="T106" s="32"/>
      <c r="U106" s="32"/>
      <c r="V106" s="32"/>
      <c r="W106" s="223"/>
    </row>
    <row r="107" spans="12:23" ht="12.75" hidden="1" customHeight="1" x14ac:dyDescent="0.2">
      <c r="L107" s="32"/>
      <c r="M107" s="32"/>
      <c r="N107" s="32"/>
      <c r="T107" s="32"/>
      <c r="U107" s="32"/>
      <c r="V107" s="32"/>
      <c r="W107" s="223"/>
    </row>
    <row r="108" spans="12:23" ht="12.75" hidden="1" customHeight="1" x14ac:dyDescent="0.2">
      <c r="L108" s="32"/>
      <c r="M108" s="32"/>
      <c r="N108" s="32"/>
      <c r="T108" s="32"/>
      <c r="U108" s="32"/>
      <c r="V108" s="32"/>
      <c r="W108" s="223"/>
    </row>
    <row r="109" spans="12:23" ht="12.75" hidden="1" customHeight="1" x14ac:dyDescent="0.2">
      <c r="L109" s="32"/>
      <c r="M109" s="32"/>
      <c r="N109" s="32"/>
      <c r="T109" s="32"/>
      <c r="U109" s="32"/>
      <c r="V109" s="32"/>
      <c r="W109" s="223"/>
    </row>
    <row r="110" spans="12:23" ht="12.75" hidden="1" customHeight="1" x14ac:dyDescent="0.2">
      <c r="L110" s="32"/>
      <c r="M110" s="32"/>
      <c r="N110" s="32"/>
      <c r="T110" s="32"/>
      <c r="U110" s="32"/>
      <c r="V110" s="32"/>
      <c r="W110" s="223"/>
    </row>
    <row r="111" spans="12:23" ht="12.75" hidden="1" customHeight="1" x14ac:dyDescent="0.2">
      <c r="L111" s="32"/>
      <c r="M111" s="32"/>
      <c r="N111" s="32"/>
      <c r="T111" s="32"/>
      <c r="U111" s="32"/>
      <c r="V111" s="32"/>
      <c r="W111" s="223"/>
    </row>
    <row r="112" spans="12:23" ht="12.75" hidden="1" customHeight="1" x14ac:dyDescent="0.2">
      <c r="L112" s="32"/>
      <c r="M112" s="32"/>
      <c r="N112" s="32"/>
      <c r="T112" s="32"/>
      <c r="U112" s="32"/>
      <c r="V112" s="32"/>
      <c r="W112" s="223"/>
    </row>
    <row r="113" spans="12:23" ht="12.75" hidden="1" customHeight="1" x14ac:dyDescent="0.2">
      <c r="L113" s="32"/>
      <c r="M113" s="32"/>
      <c r="N113" s="32"/>
      <c r="T113" s="32"/>
      <c r="U113" s="32"/>
      <c r="V113" s="32"/>
      <c r="W113" s="223"/>
    </row>
    <row r="114" spans="12:23" ht="12.75" hidden="1" customHeight="1" x14ac:dyDescent="0.2">
      <c r="L114" s="32"/>
      <c r="M114" s="32"/>
      <c r="N114" s="32"/>
      <c r="T114" s="32"/>
      <c r="U114" s="32"/>
      <c r="V114" s="32"/>
      <c r="W114" s="223"/>
    </row>
    <row r="115" spans="12:23" ht="12.75" hidden="1" customHeight="1" x14ac:dyDescent="0.2">
      <c r="L115" s="32"/>
      <c r="M115" s="32"/>
      <c r="N115" s="32"/>
      <c r="T115" s="32"/>
      <c r="U115" s="32"/>
      <c r="V115" s="32"/>
      <c r="W115" s="223"/>
    </row>
    <row r="116" spans="12:23" ht="12.75" hidden="1" customHeight="1" x14ac:dyDescent="0.2">
      <c r="L116" s="32"/>
      <c r="M116" s="32"/>
      <c r="N116" s="32"/>
      <c r="T116" s="32"/>
      <c r="U116" s="32"/>
      <c r="V116" s="32"/>
      <c r="W116" s="223"/>
    </row>
    <row r="117" spans="12:23" ht="12.75" hidden="1" customHeight="1" x14ac:dyDescent="0.2">
      <c r="L117" s="32"/>
      <c r="M117" s="32"/>
      <c r="N117" s="32"/>
      <c r="T117" s="32"/>
      <c r="U117" s="32"/>
      <c r="V117" s="32"/>
      <c r="W117" s="223"/>
    </row>
    <row r="118" spans="12:23" ht="12.75" hidden="1" customHeight="1" x14ac:dyDescent="0.2">
      <c r="L118" s="32"/>
      <c r="M118" s="32"/>
      <c r="N118" s="32"/>
      <c r="T118" s="32"/>
      <c r="U118" s="32"/>
      <c r="V118" s="32"/>
      <c r="W118" s="223"/>
    </row>
    <row r="119" spans="12:23" ht="12.75" hidden="1" customHeight="1" x14ac:dyDescent="0.2">
      <c r="L119" s="32"/>
      <c r="M119" s="32"/>
      <c r="N119" s="32"/>
      <c r="T119" s="32"/>
      <c r="U119" s="32"/>
      <c r="V119" s="32"/>
      <c r="W119" s="223"/>
    </row>
    <row r="120" spans="12:23" ht="12.75" hidden="1" customHeight="1" x14ac:dyDescent="0.2">
      <c r="L120" s="32"/>
      <c r="M120" s="32"/>
      <c r="N120" s="32"/>
      <c r="T120" s="32"/>
      <c r="U120" s="32"/>
      <c r="V120" s="32"/>
      <c r="W120" s="223"/>
    </row>
    <row r="121" spans="12:23" ht="12.75" hidden="1" customHeight="1" x14ac:dyDescent="0.2">
      <c r="L121" s="32"/>
      <c r="M121" s="32"/>
      <c r="N121" s="32"/>
      <c r="T121" s="32"/>
      <c r="U121" s="32"/>
      <c r="V121" s="32"/>
      <c r="W121" s="223"/>
    </row>
    <row r="122" spans="12:23" ht="12.75" hidden="1" customHeight="1" x14ac:dyDescent="0.2">
      <c r="L122" s="32"/>
      <c r="M122" s="32"/>
      <c r="N122" s="32"/>
      <c r="T122" s="32"/>
      <c r="U122" s="32"/>
      <c r="V122" s="32"/>
      <c r="W122" s="223"/>
    </row>
    <row r="123" spans="12:23" ht="12.75" hidden="1" customHeight="1" x14ac:dyDescent="0.2">
      <c r="L123" s="32"/>
      <c r="M123" s="32"/>
      <c r="N123" s="32"/>
      <c r="T123" s="32"/>
      <c r="U123" s="32"/>
      <c r="V123" s="32"/>
      <c r="W123" s="223"/>
    </row>
    <row r="124" spans="12:23" ht="12.75" hidden="1" customHeight="1" x14ac:dyDescent="0.2">
      <c r="L124" s="32"/>
      <c r="M124" s="32"/>
      <c r="N124" s="32"/>
      <c r="T124" s="32"/>
      <c r="U124" s="32"/>
      <c r="V124" s="32"/>
      <c r="W124" s="223"/>
    </row>
    <row r="125" spans="12:23" ht="12.75" hidden="1" customHeight="1" x14ac:dyDescent="0.2">
      <c r="L125" s="32"/>
      <c r="M125" s="32"/>
      <c r="N125" s="32"/>
      <c r="T125" s="32"/>
      <c r="U125" s="32"/>
      <c r="V125" s="32"/>
      <c r="W125" s="223"/>
    </row>
    <row r="126" spans="12:23" ht="12.75" hidden="1" customHeight="1" x14ac:dyDescent="0.2">
      <c r="L126" s="32"/>
      <c r="M126" s="32"/>
      <c r="N126" s="32"/>
      <c r="T126" s="32"/>
      <c r="U126" s="32"/>
      <c r="V126" s="32"/>
      <c r="W126" s="223"/>
    </row>
    <row r="127" spans="12:23" ht="12.75" hidden="1" customHeight="1" x14ac:dyDescent="0.2">
      <c r="L127" s="32"/>
      <c r="M127" s="32"/>
      <c r="N127" s="32"/>
      <c r="T127" s="32"/>
      <c r="U127" s="32"/>
      <c r="V127" s="32"/>
      <c r="W127" s="223"/>
    </row>
    <row r="128" spans="12:23" ht="12.75" hidden="1" customHeight="1" x14ac:dyDescent="0.2">
      <c r="L128" s="32"/>
      <c r="M128" s="32"/>
      <c r="N128" s="32"/>
      <c r="T128" s="32"/>
      <c r="U128" s="32"/>
      <c r="V128" s="32"/>
      <c r="W128" s="223"/>
    </row>
    <row r="129" spans="12:23" ht="12.75" hidden="1" customHeight="1" x14ac:dyDescent="0.2">
      <c r="L129" s="32"/>
      <c r="M129" s="32"/>
      <c r="N129" s="32"/>
      <c r="T129" s="32"/>
      <c r="U129" s="32"/>
      <c r="V129" s="32"/>
      <c r="W129" s="223"/>
    </row>
    <row r="130" spans="12:23" ht="12.75" hidden="1" customHeight="1" x14ac:dyDescent="0.2">
      <c r="L130" s="32"/>
      <c r="M130" s="32"/>
      <c r="N130" s="32"/>
      <c r="T130" s="32"/>
      <c r="U130" s="32"/>
      <c r="V130" s="32"/>
      <c r="W130" s="223"/>
    </row>
    <row r="131" spans="12:23" ht="12.75" hidden="1" customHeight="1" x14ac:dyDescent="0.2">
      <c r="L131" s="32"/>
      <c r="M131" s="32"/>
      <c r="N131" s="32"/>
      <c r="T131" s="32"/>
      <c r="U131" s="32"/>
      <c r="V131" s="32"/>
      <c r="W131" s="223"/>
    </row>
    <row r="132" spans="12:23" ht="12.75" hidden="1" customHeight="1" x14ac:dyDescent="0.2">
      <c r="L132" s="32"/>
      <c r="M132" s="32"/>
      <c r="N132" s="32"/>
      <c r="T132" s="32"/>
      <c r="U132" s="32"/>
      <c r="V132" s="32"/>
      <c r="W132" s="223"/>
    </row>
    <row r="133" spans="12:23" ht="12.75" hidden="1" customHeight="1" x14ac:dyDescent="0.2">
      <c r="L133" s="32"/>
      <c r="M133" s="32"/>
      <c r="N133" s="32"/>
      <c r="T133" s="32"/>
      <c r="U133" s="32"/>
      <c r="V133" s="32"/>
      <c r="W133" s="223"/>
    </row>
    <row r="134" spans="12:23" ht="12.75" hidden="1" customHeight="1" x14ac:dyDescent="0.2">
      <c r="L134" s="32"/>
      <c r="M134" s="32"/>
      <c r="N134" s="32"/>
      <c r="T134" s="32"/>
      <c r="U134" s="32"/>
      <c r="V134" s="32"/>
      <c r="W134" s="223"/>
    </row>
    <row r="135" spans="12:23" ht="12.75" hidden="1" customHeight="1" x14ac:dyDescent="0.2">
      <c r="L135" s="32"/>
      <c r="M135" s="32"/>
      <c r="N135" s="32"/>
      <c r="T135" s="32"/>
      <c r="U135" s="32"/>
      <c r="V135" s="32"/>
      <c r="W135" s="223"/>
    </row>
    <row r="136" spans="12:23" ht="12.75" hidden="1" customHeight="1" x14ac:dyDescent="0.2">
      <c r="L136" s="32"/>
      <c r="M136" s="32"/>
      <c r="N136" s="32"/>
      <c r="T136" s="32"/>
      <c r="U136" s="32"/>
      <c r="V136" s="32"/>
      <c r="W136" s="616"/>
    </row>
    <row r="137" spans="12:23" ht="12.75" hidden="1" customHeight="1" x14ac:dyDescent="0.2">
      <c r="L137" s="32"/>
      <c r="M137" s="32"/>
      <c r="N137" s="32"/>
      <c r="T137" s="32"/>
      <c r="U137" s="32"/>
      <c r="V137" s="32"/>
      <c r="W137" s="616"/>
    </row>
    <row r="138" spans="12:23" ht="12.75" hidden="1" customHeight="1" x14ac:dyDescent="0.2">
      <c r="L138" s="32"/>
      <c r="M138" s="32"/>
      <c r="N138" s="32"/>
      <c r="T138" s="32"/>
      <c r="U138" s="32"/>
      <c r="V138" s="32"/>
      <c r="W138" s="616"/>
    </row>
    <row r="139" spans="12:23" ht="12.75" hidden="1" customHeight="1" x14ac:dyDescent="0.2">
      <c r="L139" s="32"/>
      <c r="M139" s="32"/>
      <c r="N139" s="32"/>
      <c r="T139" s="32"/>
      <c r="U139" s="32"/>
      <c r="V139" s="32"/>
      <c r="W139" s="616"/>
    </row>
    <row r="140" spans="12:23" ht="12.75" hidden="1" customHeight="1" x14ac:dyDescent="0.2">
      <c r="L140" s="32"/>
      <c r="M140" s="32"/>
      <c r="N140" s="32"/>
      <c r="T140" s="32"/>
      <c r="U140" s="32"/>
      <c r="V140" s="32"/>
      <c r="W140" s="616"/>
    </row>
    <row r="141" spans="12:23" ht="12.75" hidden="1" customHeight="1" x14ac:dyDescent="0.2">
      <c r="L141" s="32"/>
      <c r="M141" s="32"/>
      <c r="N141" s="32"/>
      <c r="T141" s="32"/>
      <c r="U141" s="32"/>
      <c r="V141" s="32"/>
      <c r="W141" s="616"/>
    </row>
    <row r="142" spans="12:23" ht="12.75" hidden="1" customHeight="1" x14ac:dyDescent="0.2">
      <c r="L142" s="32"/>
      <c r="M142" s="32"/>
      <c r="N142" s="32"/>
      <c r="T142" s="32"/>
      <c r="U142" s="32"/>
      <c r="V142" s="32"/>
      <c r="W142" s="616"/>
    </row>
    <row r="143" spans="12:23" ht="12.75" hidden="1" customHeight="1" x14ac:dyDescent="0.2">
      <c r="L143" s="32"/>
      <c r="M143" s="32"/>
      <c r="N143" s="32"/>
      <c r="T143" s="32"/>
      <c r="U143" s="32"/>
      <c r="V143" s="32"/>
      <c r="W143" s="616"/>
    </row>
    <row r="144" spans="12:23" ht="12.75" hidden="1" customHeight="1" x14ac:dyDescent="0.2">
      <c r="L144" s="32"/>
      <c r="M144" s="32"/>
      <c r="N144" s="32"/>
      <c r="T144" s="32"/>
      <c r="U144" s="32"/>
      <c r="V144" s="32"/>
      <c r="W144" s="616"/>
    </row>
    <row r="145" spans="12:23" ht="12.75" hidden="1" customHeight="1" x14ac:dyDescent="0.2">
      <c r="L145" s="32"/>
      <c r="M145" s="32"/>
      <c r="N145" s="32"/>
      <c r="T145" s="32"/>
      <c r="U145" s="32"/>
      <c r="V145" s="32"/>
      <c r="W145" s="616"/>
    </row>
    <row r="146" spans="12:23" ht="12.75" hidden="1" customHeight="1" x14ac:dyDescent="0.2">
      <c r="L146" s="32"/>
      <c r="M146" s="32"/>
      <c r="N146" s="32"/>
      <c r="T146" s="32"/>
      <c r="U146" s="32"/>
      <c r="V146" s="32"/>
      <c r="W146" s="616"/>
    </row>
    <row r="147" spans="12:23" ht="12.75" hidden="1" customHeight="1" x14ac:dyDescent="0.2"/>
    <row r="148" spans="12:23" ht="12.75" hidden="1" customHeight="1" x14ac:dyDescent="0.2"/>
    <row r="149" spans="12:23" hidden="1" x14ac:dyDescent="0.2"/>
    <row r="150" spans="12:23" hidden="1" x14ac:dyDescent="0.2"/>
    <row r="151" spans="12:23" hidden="1" x14ac:dyDescent="0.2"/>
    <row r="152" spans="12:23" hidden="1" x14ac:dyDescent="0.2"/>
    <row r="153" spans="12:23" hidden="1" x14ac:dyDescent="0.2"/>
    <row r="154" spans="12:23" hidden="1" x14ac:dyDescent="0.2"/>
    <row r="155" spans="12:23" hidden="1" x14ac:dyDescent="0.2"/>
    <row r="156" spans="12:23" hidden="1" x14ac:dyDescent="0.2"/>
    <row r="157" spans="12:23" hidden="1" x14ac:dyDescent="0.2"/>
    <row r="158" spans="12:23" hidden="1" x14ac:dyDescent="0.2"/>
    <row r="159" spans="12:23" hidden="1" x14ac:dyDescent="0.2"/>
    <row r="160" spans="12:23" hidden="1" x14ac:dyDescent="0.2"/>
    <row r="161" spans="12:23" hidden="1" x14ac:dyDescent="0.2"/>
    <row r="162" spans="12:23" hidden="1" x14ac:dyDescent="0.2"/>
    <row r="163" spans="12:23" hidden="1" x14ac:dyDescent="0.2">
      <c r="L163" s="32"/>
      <c r="M163" s="32"/>
      <c r="N163" s="32"/>
      <c r="T163" s="32"/>
      <c r="U163" s="32"/>
      <c r="V163" s="32"/>
      <c r="W163" s="32"/>
    </row>
    <row r="164" spans="12:23" hidden="1" x14ac:dyDescent="0.2">
      <c r="L164" s="32"/>
      <c r="M164" s="32"/>
      <c r="N164" s="32"/>
      <c r="T164" s="32"/>
      <c r="U164" s="32"/>
      <c r="V164" s="32"/>
      <c r="W164" s="32"/>
    </row>
    <row r="165" spans="12:23" hidden="1" x14ac:dyDescent="0.2">
      <c r="L165" s="32"/>
      <c r="M165" s="32"/>
      <c r="N165" s="32"/>
      <c r="T165" s="32"/>
      <c r="U165" s="32"/>
      <c r="V165" s="32"/>
      <c r="W165" s="32"/>
    </row>
    <row r="166" spans="12:23" hidden="1" x14ac:dyDescent="0.2">
      <c r="L166" s="32"/>
      <c r="M166" s="32"/>
      <c r="N166" s="32"/>
      <c r="T166" s="32"/>
      <c r="U166" s="32"/>
      <c r="V166" s="32"/>
      <c r="W166" s="32"/>
    </row>
    <row r="167" spans="12:23" hidden="1" x14ac:dyDescent="0.2">
      <c r="L167" s="32"/>
      <c r="M167" s="32"/>
      <c r="N167" s="32"/>
      <c r="T167" s="32"/>
      <c r="U167" s="32"/>
      <c r="V167" s="32"/>
      <c r="W167" s="32"/>
    </row>
    <row r="168" spans="12:23" hidden="1" x14ac:dyDescent="0.2">
      <c r="L168" s="32"/>
      <c r="M168" s="32"/>
      <c r="N168" s="32"/>
      <c r="T168" s="32"/>
      <c r="U168" s="32"/>
      <c r="V168" s="32"/>
      <c r="W168" s="32"/>
    </row>
    <row r="169" spans="12:23" hidden="1" x14ac:dyDescent="0.2">
      <c r="L169" s="32"/>
      <c r="M169" s="32"/>
      <c r="N169" s="32"/>
      <c r="T169" s="32"/>
      <c r="U169" s="32"/>
      <c r="V169" s="32"/>
      <c r="W169" s="32"/>
    </row>
    <row r="170" spans="12:23" hidden="1" x14ac:dyDescent="0.2">
      <c r="L170" s="32"/>
      <c r="M170" s="32"/>
      <c r="N170" s="32"/>
      <c r="T170" s="32"/>
      <c r="U170" s="32"/>
      <c r="V170" s="32"/>
      <c r="W170" s="32"/>
    </row>
    <row r="171" spans="12:23" hidden="1" x14ac:dyDescent="0.2">
      <c r="L171" s="32"/>
      <c r="M171" s="32"/>
      <c r="N171" s="32"/>
      <c r="T171" s="32"/>
      <c r="U171" s="32"/>
      <c r="V171" s="32"/>
      <c r="W171" s="32"/>
    </row>
    <row r="172" spans="12:23" hidden="1" x14ac:dyDescent="0.2">
      <c r="L172" s="32"/>
      <c r="M172" s="32"/>
      <c r="N172" s="32"/>
      <c r="T172" s="32"/>
      <c r="U172" s="32"/>
      <c r="V172" s="32"/>
      <c r="W172" s="32"/>
    </row>
    <row r="173" spans="12:23" hidden="1" x14ac:dyDescent="0.2">
      <c r="L173" s="32"/>
      <c r="M173" s="32"/>
      <c r="N173" s="32"/>
      <c r="T173" s="32"/>
      <c r="U173" s="32"/>
      <c r="V173" s="32"/>
      <c r="W173" s="32"/>
    </row>
    <row r="174" spans="12:23" hidden="1" x14ac:dyDescent="0.2">
      <c r="L174" s="32"/>
      <c r="M174" s="32"/>
      <c r="N174" s="32"/>
      <c r="T174" s="32"/>
      <c r="U174" s="32"/>
      <c r="V174" s="32"/>
      <c r="W174" s="32"/>
    </row>
    <row r="175" spans="12:23" hidden="1" x14ac:dyDescent="0.2">
      <c r="L175" s="32"/>
      <c r="M175" s="32"/>
      <c r="N175" s="32"/>
      <c r="T175" s="32"/>
      <c r="U175" s="32"/>
      <c r="V175" s="32"/>
      <c r="W175" s="32"/>
    </row>
    <row r="176" spans="1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5" hidden="1" x14ac:dyDescent="0.2"/>
    <row r="290" spans="1:15" hidden="1" x14ac:dyDescent="0.2"/>
    <row r="291" spans="1:15" hidden="1" x14ac:dyDescent="0.2"/>
    <row r="292" spans="1:15" hidden="1" x14ac:dyDescent="0.2"/>
    <row r="293" spans="1:15" hidden="1" x14ac:dyDescent="0.2"/>
    <row r="294" spans="1:15" hidden="1" x14ac:dyDescent="0.2"/>
    <row r="295" spans="1:15" hidden="1" x14ac:dyDescent="0.2"/>
    <row r="296" spans="1:15" hidden="1" x14ac:dyDescent="0.2"/>
    <row r="297" spans="1:15" hidden="1" x14ac:dyDescent="0.2"/>
    <row r="299" spans="1:15" x14ac:dyDescent="0.2">
      <c r="A299" s="277"/>
      <c r="B299" s="277"/>
      <c r="C299" s="1364" t="s">
        <v>190</v>
      </c>
      <c r="D299" s="617"/>
      <c r="E299" s="617"/>
    </row>
    <row r="300" spans="1:15" x14ac:dyDescent="0.2">
      <c r="A300" s="279">
        <v>1</v>
      </c>
      <c r="B300" s="1334" t="str">
        <f>IFERROR(INDEX(B$1:B$100,MATCH(A300,A$1:A$100,0)),"")</f>
        <v>Ivar Viljaste, Kristo Viljaste</v>
      </c>
      <c r="C300" s="55">
        <f>MAX(A300:A400)</f>
        <v>14</v>
      </c>
      <c r="D300" s="55"/>
      <c r="E300" s="55"/>
    </row>
    <row r="301" spans="1:15" x14ac:dyDescent="0.2">
      <c r="A301" s="279">
        <v>2</v>
      </c>
      <c r="B301" s="1334" t="str">
        <f t="shared" ref="B301:B313" si="18">IFERROR(INDEX(B$1:B$100,MATCH(A301,A$1:A$100,0)),"")</f>
        <v>Boriss Klubov, Tõnu Kapper</v>
      </c>
      <c r="C301" s="34">
        <f t="shared" ref="C301:C307" si="19">C300-1</f>
        <v>13</v>
      </c>
      <c r="D301" s="34"/>
      <c r="E301" s="34"/>
      <c r="O301" s="188"/>
    </row>
    <row r="302" spans="1:15" x14ac:dyDescent="0.2">
      <c r="A302" s="279">
        <v>3</v>
      </c>
      <c r="B302" s="1334" t="str">
        <f t="shared" si="18"/>
        <v>Aarne Välja, Janek Tarto</v>
      </c>
      <c r="C302" s="34">
        <f t="shared" si="19"/>
        <v>12</v>
      </c>
      <c r="D302" s="34"/>
      <c r="E302" s="34"/>
      <c r="O302" s="188"/>
    </row>
    <row r="303" spans="1:15" x14ac:dyDescent="0.2">
      <c r="A303" s="279">
        <v>4</v>
      </c>
      <c r="B303" s="1334" t="str">
        <f t="shared" si="18"/>
        <v>Kenneth Muusikus, Meelis Luud</v>
      </c>
      <c r="C303" s="34">
        <f t="shared" si="19"/>
        <v>11</v>
      </c>
      <c r="D303" s="34"/>
      <c r="E303" s="34"/>
      <c r="O303" s="188"/>
    </row>
    <row r="304" spans="1:15" x14ac:dyDescent="0.2">
      <c r="A304" s="279">
        <v>5</v>
      </c>
      <c r="B304" s="1334" t="str">
        <f t="shared" si="18"/>
        <v>Elmo Lageda, Tõnu Piik</v>
      </c>
      <c r="C304" s="34">
        <v>9.5</v>
      </c>
      <c r="D304" s="34"/>
      <c r="E304" s="34"/>
      <c r="O304" s="188"/>
    </row>
    <row r="305" spans="1:15" x14ac:dyDescent="0.2">
      <c r="A305" s="279">
        <v>5</v>
      </c>
      <c r="B305" s="1334" t="str">
        <f>B13</f>
        <v>Enn Tokman, Johannes Neiland</v>
      </c>
      <c r="C305" s="34">
        <v>9.5</v>
      </c>
      <c r="D305" s="34"/>
      <c r="E305" s="34"/>
    </row>
    <row r="306" spans="1:15" x14ac:dyDescent="0.2">
      <c r="A306" s="279">
        <v>7</v>
      </c>
      <c r="B306" s="1334" t="str">
        <f t="shared" si="18"/>
        <v>Toomas Tedrekull, Urmas Randlaine</v>
      </c>
      <c r="C306" s="34">
        <v>8</v>
      </c>
      <c r="D306" s="34"/>
      <c r="E306" s="34"/>
    </row>
    <row r="307" spans="1:15" x14ac:dyDescent="0.2">
      <c r="A307" s="279">
        <v>8</v>
      </c>
      <c r="B307" s="1334" t="str">
        <f t="shared" si="18"/>
        <v>Ronald Jõeäär, Urmas Jõeäär</v>
      </c>
      <c r="C307" s="34">
        <f t="shared" si="19"/>
        <v>7</v>
      </c>
      <c r="D307" s="34"/>
      <c r="E307" s="34"/>
      <c r="O307" s="188"/>
    </row>
    <row r="308" spans="1:15" x14ac:dyDescent="0.2">
      <c r="A308" s="279">
        <v>9</v>
      </c>
      <c r="B308" s="1334" t="str">
        <f t="shared" si="18"/>
        <v>Argo Sepp, Jaan Sepp</v>
      </c>
      <c r="C308" s="34">
        <v>5.5</v>
      </c>
      <c r="D308" s="34"/>
      <c r="E308" s="34"/>
      <c r="O308" s="188"/>
    </row>
    <row r="309" spans="1:15" x14ac:dyDescent="0.2">
      <c r="A309" s="279">
        <v>9</v>
      </c>
      <c r="B309" s="1334" t="str">
        <f>B17</f>
        <v>Karla Purgats, Lemmit Toomra</v>
      </c>
      <c r="C309" s="34">
        <v>5.5</v>
      </c>
      <c r="D309" s="34"/>
      <c r="E309" s="34"/>
      <c r="O309" s="188"/>
    </row>
    <row r="310" spans="1:15" x14ac:dyDescent="0.2">
      <c r="A310" s="279">
        <v>11</v>
      </c>
      <c r="B310" s="1334" t="str">
        <f t="shared" si="18"/>
        <v>Illar Tõnurist, Jaan Saar, Tarmo Bombe</v>
      </c>
      <c r="C310" s="34">
        <v>4</v>
      </c>
      <c r="D310" s="34"/>
      <c r="E310" s="34"/>
    </row>
    <row r="311" spans="1:15" x14ac:dyDescent="0.2">
      <c r="A311" s="279">
        <v>12</v>
      </c>
      <c r="B311" s="1334" t="str">
        <f t="shared" si="18"/>
        <v>Henri Mitt, Melika Lehtla</v>
      </c>
      <c r="C311" s="34">
        <f t="shared" ref="C311" si="20">C310-1</f>
        <v>3</v>
      </c>
      <c r="D311" s="34"/>
      <c r="E311" s="34"/>
    </row>
    <row r="312" spans="1:15" x14ac:dyDescent="0.2">
      <c r="A312" s="279">
        <v>13</v>
      </c>
      <c r="B312" s="1334" t="str">
        <f t="shared" si="18"/>
        <v>Heino Reakainen, Jaanus Klement, Kuldar Kivestu</v>
      </c>
      <c r="C312" s="34">
        <f t="shared" ref="C312" si="21">C311-1</f>
        <v>2</v>
      </c>
      <c r="D312" s="34"/>
      <c r="E312" s="34"/>
      <c r="F312" s="862"/>
    </row>
    <row r="313" spans="1:15" x14ac:dyDescent="0.2">
      <c r="A313" s="279">
        <v>14</v>
      </c>
      <c r="B313" s="1334" t="str">
        <f t="shared" si="18"/>
        <v>Andrei Grintšak, Daniil Alekankin</v>
      </c>
      <c r="C313" s="34">
        <f t="shared" ref="C313" si="22">C312-1</f>
        <v>1</v>
      </c>
      <c r="D313" s="34"/>
      <c r="E313" s="34"/>
      <c r="F313" s="34"/>
      <c r="O313" s="188"/>
    </row>
    <row r="317" spans="1:15" x14ac:dyDescent="0.2">
      <c r="O317" s="188"/>
    </row>
  </sheetData>
  <conditionalFormatting sqref="A300:A313">
    <cfRule type="duplicateValues" dxfId="340" priority="132"/>
  </conditionalFormatting>
  <conditionalFormatting sqref="AI8:AI21 AO8:AO21 AM8:AM21">
    <cfRule type="expression" dxfId="339" priority="131">
      <formula>AND(AJ8="",COUNTIF(AI8,"*,*")=0)</formula>
    </cfRule>
  </conditionalFormatting>
  <conditionalFormatting sqref="AK8:AK21">
    <cfRule type="expression" dxfId="338" priority="129">
      <formula>AND(AL8="",FIND(",",AK8))</formula>
    </cfRule>
    <cfRule type="expression" dxfId="337" priority="130">
      <formula>AND(AL8="",COUNTIF(AK8,"*,*")=0)</formula>
    </cfRule>
  </conditionalFormatting>
  <conditionalFormatting sqref="B300:B313">
    <cfRule type="expression" dxfId="336" priority="121">
      <formula>A300=3</formula>
    </cfRule>
    <cfRule type="expression" dxfId="335" priority="122">
      <formula>A300=2</formula>
    </cfRule>
    <cfRule type="expression" dxfId="334" priority="123">
      <formula>A300=1</formula>
    </cfRule>
    <cfRule type="containsBlanks" dxfId="333" priority="124">
      <formula>LEN(TRIM(B300))=0</formula>
    </cfRule>
    <cfRule type="duplicateValues" dxfId="332" priority="125"/>
  </conditionalFormatting>
  <conditionalFormatting sqref="A8:A21">
    <cfRule type="duplicateValues" dxfId="331" priority="39"/>
  </conditionalFormatting>
  <conditionalFormatting sqref="C8:C21">
    <cfRule type="expression" dxfId="330" priority="21">
      <formula>IF($C8&gt;$E8,TRUE)</formula>
    </cfRule>
  </conditionalFormatting>
  <conditionalFormatting sqref="E8:E21">
    <cfRule type="expression" dxfId="329" priority="22">
      <formula>IF($C8&lt;$E8,TRUE)</formula>
    </cfRule>
  </conditionalFormatting>
  <conditionalFormatting sqref="K8:K21">
    <cfRule type="expression" dxfId="328" priority="29">
      <formula>IF($K8&gt;$M8,TRUE)</formula>
    </cfRule>
  </conditionalFormatting>
  <conditionalFormatting sqref="M8:M21">
    <cfRule type="expression" dxfId="327" priority="30">
      <formula>IF($K8&lt;$M8,TRUE)</formula>
    </cfRule>
  </conditionalFormatting>
  <conditionalFormatting sqref="O8:O21">
    <cfRule type="expression" dxfId="326" priority="33">
      <formula>IF($O8&gt;$Q8,TRUE)</formula>
    </cfRule>
  </conditionalFormatting>
  <conditionalFormatting sqref="Q8:Q21">
    <cfRule type="expression" dxfId="325" priority="34">
      <formula>IF($O8&lt;$Q8,TRUE)</formula>
    </cfRule>
  </conditionalFormatting>
  <conditionalFormatting sqref="S8:S21">
    <cfRule type="expression" dxfId="324" priority="37">
      <formula>IF($S8&gt;$U8,TRUE)</formula>
    </cfRule>
  </conditionalFormatting>
  <conditionalFormatting sqref="U8:U19">
    <cfRule type="expression" dxfId="323" priority="38">
      <formula>IF($S8&lt;$U8,TRUE)</formula>
    </cfRule>
  </conditionalFormatting>
  <conditionalFormatting sqref="G8:G21">
    <cfRule type="expression" dxfId="322" priority="25">
      <formula>IF($G8&gt;$I8,TRUE)</formula>
    </cfRule>
  </conditionalFormatting>
  <conditionalFormatting sqref="I8:I21">
    <cfRule type="expression" dxfId="321" priority="26">
      <formula>IF($G8&lt;$I8,TRUE)</formula>
    </cfRule>
  </conditionalFormatting>
  <conditionalFormatting sqref="F8:F21">
    <cfRule type="containsText" dxfId="320" priority="7" operator="containsText" text="vaba voor">
      <formula>NOT(ISERROR(SEARCH("vaba voor",F8)))</formula>
    </cfRule>
  </conditionalFormatting>
  <conditionalFormatting sqref="N8:N21">
    <cfRule type="containsText" dxfId="319" priority="5" operator="containsText" text="vaba voor">
      <formula>NOT(ISERROR(SEARCH("vaba voor",N8)))</formula>
    </cfRule>
  </conditionalFormatting>
  <conditionalFormatting sqref="R8:R21">
    <cfRule type="containsText" dxfId="318" priority="8" operator="containsText" text="vaba voor">
      <formula>NOT(ISERROR(SEARCH("vaba voor",R8)))</formula>
    </cfRule>
  </conditionalFormatting>
  <conditionalFormatting sqref="V8:V21">
    <cfRule type="containsText" dxfId="317" priority="4" operator="containsText" text="vaba voor">
      <formula>NOT(ISERROR(SEARCH("vaba voor",V8)))</formula>
    </cfRule>
  </conditionalFormatting>
  <conditionalFormatting sqref="Z8:Z21">
    <cfRule type="containsText" dxfId="316" priority="3" operator="containsText" text="vaba voor">
      <formula>NOT(ISERROR(SEARCH("vaba voor",Z8)))</formula>
    </cfRule>
  </conditionalFormatting>
  <conditionalFormatting sqref="W8:W21">
    <cfRule type="expression" dxfId="315" priority="12">
      <formula>IF($W8&gt;$Y8,TRUE)</formula>
    </cfRule>
  </conditionalFormatting>
  <conditionalFormatting sqref="Y8:Y21">
    <cfRule type="expression" dxfId="314" priority="13">
      <formula>IF($W8&lt;$Y8,TRUE)</formula>
    </cfRule>
  </conditionalFormatting>
  <conditionalFormatting sqref="J8:J21">
    <cfRule type="containsText" dxfId="313" priority="6" operator="containsText" text="vaba voor">
      <formula>NOT(ISERROR(SEARCH("vaba voor",J8)))</formula>
    </cfRule>
  </conditionalFormatting>
  <conditionalFormatting sqref="C8:F21">
    <cfRule type="expression" dxfId="312" priority="17">
      <formula>IF(AND(ISNUMBER($C8),$C8=$E8),TRUE)</formula>
    </cfRule>
    <cfRule type="expression" dxfId="311" priority="19">
      <formula>IF($C8&gt;$E8,TRUE)</formula>
    </cfRule>
    <cfRule type="expression" dxfId="310" priority="20">
      <formula>IF($C8&lt;$E8,TRUE)</formula>
    </cfRule>
  </conditionalFormatting>
  <conditionalFormatting sqref="G8:J21">
    <cfRule type="expression" dxfId="309" priority="18">
      <formula>IF(AND(ISNUMBER($G8),$G8=$I8),TRUE)</formula>
    </cfRule>
    <cfRule type="expression" dxfId="308" priority="23">
      <formula>IF($G8&gt;$I8,TRUE)</formula>
    </cfRule>
    <cfRule type="expression" dxfId="307" priority="24">
      <formula>IF($G8&lt;$I8,TRUE)</formula>
    </cfRule>
  </conditionalFormatting>
  <conditionalFormatting sqref="K8:N21">
    <cfRule type="expression" dxfId="306" priority="16">
      <formula>IF(AND(ISNUMBER($K8),$K8=$M8),TRUE)</formula>
    </cfRule>
    <cfRule type="expression" dxfId="305" priority="27">
      <formula>IF($K8&gt;$M8,TRUE)</formula>
    </cfRule>
    <cfRule type="expression" dxfId="304" priority="28">
      <formula>IF($K8&lt;$M8,TRUE)</formula>
    </cfRule>
  </conditionalFormatting>
  <conditionalFormatting sqref="O8:R21">
    <cfRule type="expression" dxfId="303" priority="15">
      <formula>IF(AND(ISNUMBER($O8),$O8=$Q8),TRUE)</formula>
    </cfRule>
    <cfRule type="expression" dxfId="302" priority="31">
      <formula>IF($O8&gt;$Q8,TRUE)</formula>
    </cfRule>
    <cfRule type="expression" dxfId="301" priority="32">
      <formula>IF($O8&lt;$Q8,TRUE)</formula>
    </cfRule>
  </conditionalFormatting>
  <conditionalFormatting sqref="S8:V21">
    <cfRule type="expression" dxfId="300" priority="14">
      <formula>IF(AND(ISNUMBER($S8),$S8=$U8),TRUE)</formula>
    </cfRule>
    <cfRule type="expression" dxfId="299" priority="35">
      <formula>IF($S8&gt;$U8,TRUE)</formula>
    </cfRule>
    <cfRule type="expression" dxfId="298" priority="36">
      <formula>IF($S8&lt;$U8,TRUE)</formula>
    </cfRule>
  </conditionalFormatting>
  <conditionalFormatting sqref="W8:Z21">
    <cfRule type="expression" dxfId="297" priority="9">
      <formula>IF(AND(ISNUMBER($W8),$W8=$Y8),TRUE)</formula>
    </cfRule>
    <cfRule type="expression" dxfId="296" priority="10">
      <formula>IF($W8&gt;$Y8,TRUE)</formula>
    </cfRule>
    <cfRule type="expression" dxfId="295" priority="11">
      <formula>IF($W8&lt;$Y8,TRUE)</formula>
    </cfRule>
  </conditionalFormatting>
  <conditionalFormatting sqref="C8:C21 G8:G21 K8:K21 O8:O21 S8:S21 W8:W21">
    <cfRule type="expression" dxfId="294" priority="1">
      <formula>AND(C8=0,E8=13)</formula>
    </cfRule>
  </conditionalFormatting>
  <conditionalFormatting sqref="E8:E21 I8:I21 M8:M21 Q8:Q21 U8:U21 Y8:Y21">
    <cfRule type="expression" dxfId="293" priority="2">
      <formula>AND(E8=0,C8=13)</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CCFFCC"/>
    <pageSetUpPr fitToPage="1"/>
  </sheetPr>
  <dimension ref="A1:AP317"/>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5.5703125" style="32" customWidth="1"/>
    <col min="2" max="2" width="29.42578125" style="32" bestFit="1" customWidth="1"/>
    <col min="3" max="3" width="4.7109375" style="32" customWidth="1"/>
    <col min="4" max="4" width="0.85546875" style="32" customWidth="1"/>
    <col min="5" max="5" width="2.7109375" style="32" customWidth="1"/>
    <col min="6" max="6" width="8.7109375" style="32" customWidth="1"/>
    <col min="7" max="7" width="2.7109375" style="32" customWidth="1"/>
    <col min="8" max="8" width="0.85546875" style="32" customWidth="1"/>
    <col min="9" max="9" width="2.7109375" style="32" customWidth="1"/>
    <col min="10" max="10" width="8.7109375" style="32" customWidth="1"/>
    <col min="11" max="11" width="2.7109375" style="32" customWidth="1"/>
    <col min="12" max="12" width="0.85546875" style="42" customWidth="1"/>
    <col min="13" max="13" width="2.7109375" style="42" customWidth="1"/>
    <col min="14" max="14" width="8.7109375" style="42" customWidth="1"/>
    <col min="15" max="15" width="2.7109375" style="32" customWidth="1"/>
    <col min="16" max="16" width="0.85546875" style="32" customWidth="1"/>
    <col min="17" max="17" width="2.7109375" style="32" customWidth="1"/>
    <col min="18" max="18" width="8.7109375" style="32" customWidth="1"/>
    <col min="19" max="19" width="2.7109375" style="32" customWidth="1"/>
    <col min="20" max="20" width="0.85546875" style="42" customWidth="1"/>
    <col min="21" max="21" width="2.7109375" style="42" customWidth="1"/>
    <col min="22" max="22" width="8.7109375" style="42" customWidth="1"/>
    <col min="23" max="23" width="2.7109375" style="42" hidden="1" customWidth="1"/>
    <col min="24" max="24" width="0.85546875" style="32" hidden="1" customWidth="1"/>
    <col min="25" max="25" width="2.7109375" style="32" hidden="1" customWidth="1"/>
    <col min="26" max="26" width="8.7109375" style="32" hidden="1" customWidth="1"/>
    <col min="27" max="27" width="5.7109375" style="32" bestFit="1" customWidth="1"/>
    <col min="28" max="28" width="5.5703125" style="32" hidden="1" customWidth="1"/>
    <col min="29" max="29" width="2.7109375" style="32" customWidth="1"/>
    <col min="30" max="30" width="0.85546875" style="32" customWidth="1"/>
    <col min="31" max="31" width="2.7109375" style="32" customWidth="1"/>
    <col min="32" max="32" width="4.140625" style="32" hidden="1" customWidth="1"/>
    <col min="33" max="33" width="9.140625" style="32"/>
    <col min="34" max="34" width="0" style="32" hidden="1" customWidth="1"/>
    <col min="35" max="35" width="14" style="32" hidden="1" customWidth="1"/>
    <col min="36" max="36" width="0" style="32" hidden="1" customWidth="1"/>
    <col min="37" max="37" width="16.7109375" style="32" hidden="1" customWidth="1"/>
    <col min="38" max="38" width="0" style="32" hidden="1" customWidth="1"/>
    <col min="39" max="39" width="17.28515625" style="32" hidden="1" customWidth="1"/>
    <col min="40" max="40" width="0" style="32" hidden="1" customWidth="1"/>
    <col min="41" max="41" width="13.85546875" style="32" hidden="1" customWidth="1"/>
    <col min="42" max="42" width="0" style="32" hidden="1" customWidth="1"/>
    <col min="43" max="16384" width="9.140625" style="32"/>
  </cols>
  <sheetData>
    <row r="1" spans="1:42" x14ac:dyDescent="0.2">
      <c r="A1" s="31" t="str">
        <f>UPPER((Kalend!E42)&amp;" - "&amp;(Kalend!C42)&amp;" - "&amp;(Kalend!D42))</f>
        <v>V10 - VOKA 5. KV 10. ETAPP - DUO</v>
      </c>
      <c r="C1" s="34"/>
      <c r="F1" s="925" t="str">
        <f>HYPERLINK("#Kalend!I1","Kalender")</f>
        <v>Kalender</v>
      </c>
      <c r="G1" s="925"/>
      <c r="H1" s="925"/>
      <c r="I1" s="925"/>
      <c r="J1" s="926" t="str">
        <f>HYPERLINK("#V!Y1","Reiting")</f>
        <v>Reiting</v>
      </c>
      <c r="K1" s="9"/>
      <c r="L1" s="284"/>
      <c r="Q1" s="9"/>
      <c r="R1" s="9"/>
      <c r="S1" s="9"/>
      <c r="T1" s="284"/>
      <c r="U1" s="284"/>
      <c r="V1" s="284"/>
      <c r="W1" s="615"/>
      <c r="X1" s="597"/>
      <c r="Y1" s="597"/>
      <c r="Z1" s="597"/>
      <c r="AB1" s="597"/>
      <c r="AF1" s="597"/>
      <c r="AH1" s="169" t="s">
        <v>180</v>
      </c>
      <c r="AI1" s="597"/>
      <c r="AJ1" s="597"/>
      <c r="AK1" s="597"/>
      <c r="AL1" s="597"/>
      <c r="AM1" s="597"/>
      <c r="AN1" s="597"/>
      <c r="AO1" s="597"/>
      <c r="AP1" s="597"/>
    </row>
    <row r="2" spans="1:42" x14ac:dyDescent="0.2">
      <c r="A2" s="2" t="str">
        <f>"Toimumisaeg: "&amp;(Kalend!A42)&amp;" kell "&amp;(Kalend!B42)</f>
        <v>Toimumisaeg: L, 15.09.2018 kell 11:00</v>
      </c>
      <c r="Y2" s="56" t="s">
        <v>449</v>
      </c>
      <c r="AE2" s="56" t="s">
        <v>449</v>
      </c>
    </row>
    <row r="3" spans="1:42" x14ac:dyDescent="0.2">
      <c r="A3" s="2" t="str">
        <f>"Toimumiskoht: "&amp;(Kalend!F42)</f>
        <v>Toimumiskoht: Voka staadion</v>
      </c>
      <c r="G3" s="1337"/>
      <c r="H3" s="1337"/>
      <c r="I3" s="1338" t="s">
        <v>446</v>
      </c>
      <c r="J3" s="659">
        <v>1</v>
      </c>
      <c r="K3" s="188" t="s">
        <v>493</v>
      </c>
    </row>
    <row r="4" spans="1:42" x14ac:dyDescent="0.2">
      <c r="G4" s="1341"/>
      <c r="H4" s="1341"/>
      <c r="I4" s="1342" t="s">
        <v>447</v>
      </c>
      <c r="J4" s="659">
        <v>0.5</v>
      </c>
      <c r="K4" s="188" t="s">
        <v>493</v>
      </c>
      <c r="L4" s="32"/>
      <c r="M4" s="32"/>
      <c r="N4" s="32"/>
      <c r="T4" s="32"/>
      <c r="U4" s="32"/>
      <c r="V4" s="32"/>
      <c r="W4" s="616"/>
      <c r="AH4" s="598" t="s">
        <v>357</v>
      </c>
    </row>
    <row r="5" spans="1:42" x14ac:dyDescent="0.2">
      <c r="G5" s="1339"/>
      <c r="H5" s="1339"/>
      <c r="I5" s="1340" t="s">
        <v>448</v>
      </c>
      <c r="J5" s="659">
        <v>0</v>
      </c>
      <c r="K5" s="188" t="s">
        <v>493</v>
      </c>
      <c r="L5" s="32"/>
      <c r="M5" s="32"/>
      <c r="N5" s="32"/>
      <c r="T5" s="32"/>
      <c r="U5" s="32"/>
      <c r="V5" s="32"/>
      <c r="W5" s="616"/>
      <c r="AH5" s="599" t="s">
        <v>228</v>
      </c>
      <c r="AI5" s="1321"/>
      <c r="AJ5" s="600"/>
      <c r="AK5" s="1332"/>
      <c r="AL5" s="600"/>
      <c r="AM5" s="600"/>
      <c r="AN5" s="600"/>
      <c r="AO5" s="600"/>
      <c r="AP5" s="600"/>
    </row>
    <row r="6" spans="1:42" ht="12.75" customHeight="1" x14ac:dyDescent="0.2">
      <c r="AH6" s="599" t="s">
        <v>358</v>
      </c>
      <c r="AI6" s="601" t="s">
        <v>359</v>
      </c>
      <c r="AJ6" s="601"/>
      <c r="AK6" s="1333" t="s">
        <v>360</v>
      </c>
      <c r="AL6" s="601"/>
      <c r="AM6" s="601" t="s">
        <v>361</v>
      </c>
      <c r="AN6" s="601"/>
      <c r="AO6" s="601" t="s">
        <v>362</v>
      </c>
      <c r="AP6" s="499"/>
    </row>
    <row r="7" spans="1:42" ht="12.75" customHeight="1" x14ac:dyDescent="0.2">
      <c r="A7" s="1290" t="s">
        <v>26</v>
      </c>
      <c r="B7" s="1290" t="s">
        <v>14</v>
      </c>
      <c r="C7" s="1316" t="s">
        <v>16</v>
      </c>
      <c r="D7" s="1317"/>
      <c r="E7" s="1317"/>
      <c r="F7" s="1318"/>
      <c r="G7" s="1316" t="s">
        <v>17</v>
      </c>
      <c r="H7" s="1317"/>
      <c r="I7" s="1317"/>
      <c r="J7" s="1318"/>
      <c r="K7" s="1316" t="s">
        <v>18</v>
      </c>
      <c r="L7" s="1317"/>
      <c r="M7" s="1317"/>
      <c r="N7" s="1318"/>
      <c r="O7" s="1316" t="s">
        <v>19</v>
      </c>
      <c r="P7" s="1317"/>
      <c r="Q7" s="1317"/>
      <c r="R7" s="1318"/>
      <c r="S7" s="1316" t="s">
        <v>20</v>
      </c>
      <c r="T7" s="1317"/>
      <c r="U7" s="1317"/>
      <c r="V7" s="1318"/>
      <c r="W7" s="1316" t="s">
        <v>726</v>
      </c>
      <c r="X7" s="1317"/>
      <c r="Y7" s="1317"/>
      <c r="Z7" s="1318"/>
      <c r="AA7" s="1290" t="s">
        <v>12</v>
      </c>
      <c r="AB7" s="1319" t="s">
        <v>727</v>
      </c>
      <c r="AC7" s="1319"/>
      <c r="AD7" s="1355" t="s">
        <v>634</v>
      </c>
      <c r="AE7" s="1320"/>
      <c r="AG7" s="668"/>
      <c r="AH7" s="599" t="s">
        <v>365</v>
      </c>
      <c r="AI7" s="1321"/>
      <c r="AJ7" s="600"/>
      <c r="AK7" s="1321"/>
      <c r="AL7" s="600"/>
      <c r="AM7" s="507"/>
      <c r="AN7" s="507"/>
      <c r="AO7" s="507"/>
      <c r="AP7" s="507"/>
    </row>
    <row r="8" spans="1:42" ht="12.75" customHeight="1" x14ac:dyDescent="0.2">
      <c r="A8" s="1319">
        <v>1</v>
      </c>
      <c r="B8" s="1322" t="s">
        <v>413</v>
      </c>
      <c r="C8" s="1323">
        <v>13</v>
      </c>
      <c r="D8" s="1324" t="s">
        <v>211</v>
      </c>
      <c r="E8" s="1325">
        <v>9</v>
      </c>
      <c r="F8" s="1315" t="s">
        <v>665</v>
      </c>
      <c r="G8" s="1323">
        <v>13</v>
      </c>
      <c r="H8" s="1324" t="s">
        <v>211</v>
      </c>
      <c r="I8" s="1325">
        <v>2</v>
      </c>
      <c r="J8" s="1315" t="s">
        <v>662</v>
      </c>
      <c r="K8" s="1323">
        <v>13</v>
      </c>
      <c r="L8" s="1324" t="s">
        <v>211</v>
      </c>
      <c r="M8" s="1325">
        <v>7</v>
      </c>
      <c r="N8" s="1315" t="s">
        <v>481</v>
      </c>
      <c r="O8" s="1323">
        <v>13</v>
      </c>
      <c r="P8" s="1324" t="s">
        <v>211</v>
      </c>
      <c r="Q8" s="1325">
        <v>11</v>
      </c>
      <c r="R8" s="1315" t="s">
        <v>488</v>
      </c>
      <c r="S8" s="1323">
        <v>13</v>
      </c>
      <c r="T8" s="1324" t="s">
        <v>211</v>
      </c>
      <c r="U8" s="1325">
        <v>9</v>
      </c>
      <c r="V8" s="1315" t="s">
        <v>663</v>
      </c>
      <c r="W8" s="1323"/>
      <c r="X8" s="1324" t="s">
        <v>211</v>
      </c>
      <c r="Y8" s="1325"/>
      <c r="Z8" s="1315"/>
      <c r="AA8" s="1330">
        <f t="shared" ref="AA8:AA18" si="0">IF(C8&gt;E8,J$3,IF(C8&lt;E8,J$5,IF(ISNUMBER(C8),J$4,0)))+IF(G8&gt;I8,J$3,IF(G8&lt;I8,J$5,IF(ISNUMBER(G8),J$4,0)))+IF(K8&gt;M8,J$3,IF(K8&lt;M8,J$5,IF(ISNUMBER(K8),J$4,0)))+IF(O8&gt;Q8,J$3,IF(O8&lt;Q8,J$5,IF(ISNUMBER(O8),J$4,0)))+IF(S8&gt;U8,J$3,IF(S8&lt;U8,J$5,IF(ISNUMBER(S8),J$4,0)))+IF(W8&gt;Y8,J$3,IF(W8&lt;Y8,J$5,IF(ISNUMBER(W8),J$4,0)))</f>
        <v>5</v>
      </c>
      <c r="AB8" s="1331"/>
      <c r="AC8" s="1323">
        <f t="shared" ref="AC8:AC18" si="1">C8+G8+K8+O8+S8+W8</f>
        <v>65</v>
      </c>
      <c r="AD8" s="1324" t="s">
        <v>211</v>
      </c>
      <c r="AE8" s="1326">
        <f t="shared" ref="AE8:AE18" si="2">E8+I8+M8+Q8+U8+Y8</f>
        <v>38</v>
      </c>
      <c r="AF8" s="1327">
        <f t="shared" ref="AF8:AF18" si="3">AC8-AE8</f>
        <v>27</v>
      </c>
      <c r="AG8" s="663"/>
      <c r="AH8" s="499">
        <f t="shared" ref="AH8" si="4">SUM(AJ8:AP8)</f>
        <v>132.5</v>
      </c>
      <c r="AI8" s="605" t="str">
        <f t="shared" ref="AI8:AI18" si="5">IFERROR(LEFT($B8,(FIND(",",$B8,1)-1)),"")</f>
        <v>Boriss Klubov</v>
      </c>
      <c r="AJ8" s="604">
        <f>IFERROR(INDEX(V!$N:$N,MATCH(AI8,V!$I:$I,0)),"")</f>
        <v>65</v>
      </c>
      <c r="AK8" s="605" t="str">
        <f t="shared" ref="AK8:AK18" si="6">IFERROR(MID($B8,FIND(", ",$B8)+2,256),"")</f>
        <v>Urmas Jõeäär</v>
      </c>
      <c r="AL8" s="604">
        <f>IFERROR(INDEX(V!$N:$N,MATCH(AK8,V!$I:$I,0)),"")</f>
        <v>67.5</v>
      </c>
      <c r="AM8" s="603" t="str">
        <f t="shared" ref="AM8:AM18" si="7">IFERROR(MID($B8,FIND("^",SUBSTITUTE($B8,", ","^",1))+2,FIND("^",SUBSTITUTE($B8,", ","^",2))-FIND("^",SUBSTITUTE($B8,", ","^",1))-2),"")</f>
        <v/>
      </c>
      <c r="AN8" s="604" t="str">
        <f>IFERROR(INDEX(V!$N:$N,MATCH(AM8,V!$I:$I,0)),"")</f>
        <v/>
      </c>
      <c r="AO8" s="603" t="str">
        <f t="shared" ref="AO8:AO18" si="8">IFERROR(MID($B8,FIND(", ",$B8,FIND(", ",$B8,FIND(", ",$B8))+1)+2,700),"")</f>
        <v/>
      </c>
      <c r="AP8" s="604" t="str">
        <f>IFERROR(INDEX(V!$N:$N,MATCH(AO8,V!$I:$I,0)),"")</f>
        <v/>
      </c>
    </row>
    <row r="9" spans="1:42" ht="12.75" customHeight="1" x14ac:dyDescent="0.2">
      <c r="A9" s="1319">
        <v>2</v>
      </c>
      <c r="B9" s="1322" t="s">
        <v>662</v>
      </c>
      <c r="C9" s="1323">
        <v>13</v>
      </c>
      <c r="D9" s="1324" t="s">
        <v>211</v>
      </c>
      <c r="E9" s="1325">
        <v>9</v>
      </c>
      <c r="F9" s="1315" t="s">
        <v>664</v>
      </c>
      <c r="G9" s="1323">
        <v>2</v>
      </c>
      <c r="H9" s="1324" t="s">
        <v>211</v>
      </c>
      <c r="I9" s="1325">
        <v>13</v>
      </c>
      <c r="J9" s="1315" t="s">
        <v>413</v>
      </c>
      <c r="K9" s="1323">
        <v>13</v>
      </c>
      <c r="L9" s="1324" t="s">
        <v>211</v>
      </c>
      <c r="M9" s="1325">
        <v>4</v>
      </c>
      <c r="N9" s="1315" t="s">
        <v>665</v>
      </c>
      <c r="O9" s="1323">
        <v>13</v>
      </c>
      <c r="P9" s="1324" t="s">
        <v>211</v>
      </c>
      <c r="Q9" s="1325">
        <v>10</v>
      </c>
      <c r="R9" s="1315" t="s">
        <v>481</v>
      </c>
      <c r="S9" s="1323">
        <v>13</v>
      </c>
      <c r="T9" s="1324" t="s">
        <v>211</v>
      </c>
      <c r="U9" s="1325">
        <v>8</v>
      </c>
      <c r="V9" s="1315" t="s">
        <v>488</v>
      </c>
      <c r="W9" s="1323"/>
      <c r="X9" s="1324" t="s">
        <v>211</v>
      </c>
      <c r="Y9" s="1325"/>
      <c r="Z9" s="1315"/>
      <c r="AA9" s="1330">
        <f t="shared" si="0"/>
        <v>4</v>
      </c>
      <c r="AB9" s="1331"/>
      <c r="AC9" s="1323">
        <f t="shared" si="1"/>
        <v>54</v>
      </c>
      <c r="AD9" s="1324" t="s">
        <v>211</v>
      </c>
      <c r="AE9" s="1326">
        <f t="shared" si="2"/>
        <v>44</v>
      </c>
      <c r="AF9" s="1327">
        <f t="shared" si="3"/>
        <v>10</v>
      </c>
      <c r="AG9" s="663"/>
      <c r="AH9" s="499">
        <f t="shared" ref="AH9:AH18" si="9">SUM(AJ9:AP9)</f>
        <v>150</v>
      </c>
      <c r="AI9" s="605" t="str">
        <f t="shared" si="5"/>
        <v>Elmo Lageda</v>
      </c>
      <c r="AJ9" s="604">
        <f>IFERROR(INDEX(V!$N:$N,MATCH(AI9,V!$I:$I,0)),"")</f>
        <v>91</v>
      </c>
      <c r="AK9" s="605" t="str">
        <f t="shared" si="6"/>
        <v>Johannes Neiland</v>
      </c>
      <c r="AL9" s="604">
        <f>IFERROR(INDEX(V!$N:$N,MATCH(AK9,V!$I:$I,0)),"")</f>
        <v>59</v>
      </c>
      <c r="AM9" s="603" t="str">
        <f t="shared" si="7"/>
        <v/>
      </c>
      <c r="AN9" s="604" t="str">
        <f>IFERROR(INDEX(V!$N:$N,MATCH(AM9,V!$I:$I,0)),"")</f>
        <v/>
      </c>
      <c r="AO9" s="603" t="str">
        <f t="shared" si="8"/>
        <v/>
      </c>
      <c r="AP9" s="604" t="str">
        <f>IFERROR(INDEX(V!$N:$N,MATCH(AO9,V!$I:$I,0)),"")</f>
        <v/>
      </c>
    </row>
    <row r="10" spans="1:42" ht="12.75" customHeight="1" x14ac:dyDescent="0.2">
      <c r="A10" s="1319">
        <v>3</v>
      </c>
      <c r="B10" s="1328" t="s">
        <v>481</v>
      </c>
      <c r="C10" s="1323">
        <v>13</v>
      </c>
      <c r="D10" s="1324" t="s">
        <v>211</v>
      </c>
      <c r="E10" s="1325">
        <v>9</v>
      </c>
      <c r="F10" s="1315" t="s">
        <v>663</v>
      </c>
      <c r="G10" s="1323">
        <v>13</v>
      </c>
      <c r="H10" s="1324" t="s">
        <v>211</v>
      </c>
      <c r="I10" s="1325">
        <v>3</v>
      </c>
      <c r="J10" s="1315" t="s">
        <v>439</v>
      </c>
      <c r="K10" s="1323">
        <v>7</v>
      </c>
      <c r="L10" s="1324" t="s">
        <v>211</v>
      </c>
      <c r="M10" s="1325">
        <v>13</v>
      </c>
      <c r="N10" s="1315" t="s">
        <v>413</v>
      </c>
      <c r="O10" s="1323">
        <v>10</v>
      </c>
      <c r="P10" s="1324" t="s">
        <v>211</v>
      </c>
      <c r="Q10" s="1325">
        <v>13</v>
      </c>
      <c r="R10" s="1315" t="s">
        <v>662</v>
      </c>
      <c r="S10" s="1323">
        <v>13</v>
      </c>
      <c r="T10" s="1324" t="s">
        <v>211</v>
      </c>
      <c r="U10" s="1325">
        <v>5</v>
      </c>
      <c r="V10" s="1315" t="s">
        <v>664</v>
      </c>
      <c r="W10" s="1323"/>
      <c r="X10" s="1324" t="s">
        <v>211</v>
      </c>
      <c r="Y10" s="1325"/>
      <c r="Z10" s="1315"/>
      <c r="AA10" s="1335">
        <f t="shared" si="0"/>
        <v>3</v>
      </c>
      <c r="AB10" s="1331"/>
      <c r="AC10" s="1323">
        <f t="shared" si="1"/>
        <v>56</v>
      </c>
      <c r="AD10" s="1324" t="s">
        <v>211</v>
      </c>
      <c r="AE10" s="1326">
        <f t="shared" si="2"/>
        <v>43</v>
      </c>
      <c r="AF10" s="1327">
        <f t="shared" si="3"/>
        <v>13</v>
      </c>
      <c r="AG10" s="663"/>
      <c r="AH10" s="499">
        <f t="shared" si="9"/>
        <v>123</v>
      </c>
      <c r="AI10" s="605" t="str">
        <f t="shared" si="5"/>
        <v>Mait Metsla</v>
      </c>
      <c r="AJ10" s="604">
        <f>IFERROR(INDEX(V!$N:$N,MATCH(AI10,V!$I:$I,0)),"")</f>
        <v>89</v>
      </c>
      <c r="AK10" s="605" t="str">
        <f t="shared" si="6"/>
        <v>Matti Vinni</v>
      </c>
      <c r="AL10" s="604">
        <f>IFERROR(INDEX(V!$N:$N,MATCH(AK10,V!$I:$I,0)),"")</f>
        <v>34</v>
      </c>
      <c r="AM10" s="603" t="str">
        <f t="shared" si="7"/>
        <v/>
      </c>
      <c r="AN10" s="604" t="str">
        <f>IFERROR(INDEX(V!$N:$N,MATCH(AM10,V!$I:$I,0)),"")</f>
        <v/>
      </c>
      <c r="AO10" s="603" t="str">
        <f t="shared" si="8"/>
        <v/>
      </c>
      <c r="AP10" s="604" t="str">
        <f>IFERROR(INDEX(V!$N:$N,MATCH(AO10,V!$I:$I,0)),"")</f>
        <v/>
      </c>
    </row>
    <row r="11" spans="1:42" ht="12.75" customHeight="1" x14ac:dyDescent="0.2">
      <c r="A11" s="1319">
        <v>4</v>
      </c>
      <c r="B11" s="1328" t="s">
        <v>663</v>
      </c>
      <c r="C11" s="1323">
        <v>9</v>
      </c>
      <c r="D11" s="1324" t="s">
        <v>211</v>
      </c>
      <c r="E11" s="1325">
        <v>13</v>
      </c>
      <c r="F11" s="1315" t="s">
        <v>481</v>
      </c>
      <c r="G11" s="1323">
        <v>13</v>
      </c>
      <c r="H11" s="1324" t="s">
        <v>211</v>
      </c>
      <c r="I11" s="1325">
        <v>3</v>
      </c>
      <c r="J11" s="1315" t="s">
        <v>665</v>
      </c>
      <c r="K11" s="1323">
        <v>13</v>
      </c>
      <c r="L11" s="1324" t="s">
        <v>211</v>
      </c>
      <c r="M11" s="1325">
        <v>2</v>
      </c>
      <c r="N11" s="1315" t="s">
        <v>439</v>
      </c>
      <c r="O11" s="1323">
        <v>13</v>
      </c>
      <c r="P11" s="1324" t="s">
        <v>211</v>
      </c>
      <c r="Q11" s="1325">
        <v>5</v>
      </c>
      <c r="R11" s="1315" t="s">
        <v>654</v>
      </c>
      <c r="S11" s="1323">
        <v>9</v>
      </c>
      <c r="T11" s="1324" t="s">
        <v>211</v>
      </c>
      <c r="U11" s="1325">
        <v>13</v>
      </c>
      <c r="V11" s="1315" t="s">
        <v>413</v>
      </c>
      <c r="W11" s="1323"/>
      <c r="X11" s="1324" t="s">
        <v>211</v>
      </c>
      <c r="Y11" s="1325"/>
      <c r="Z11" s="1315"/>
      <c r="AA11" s="1335">
        <f t="shared" si="0"/>
        <v>3</v>
      </c>
      <c r="AB11" s="1331"/>
      <c r="AC11" s="1323">
        <f t="shared" si="1"/>
        <v>57</v>
      </c>
      <c r="AD11" s="1324" t="s">
        <v>211</v>
      </c>
      <c r="AE11" s="1326">
        <f t="shared" si="2"/>
        <v>36</v>
      </c>
      <c r="AF11" s="1327">
        <f t="shared" si="3"/>
        <v>21</v>
      </c>
      <c r="AG11" s="663"/>
      <c r="AH11" s="499">
        <f t="shared" si="9"/>
        <v>111</v>
      </c>
      <c r="AI11" s="605" t="str">
        <f t="shared" si="5"/>
        <v>Tõnu Piik</v>
      </c>
      <c r="AJ11" s="604">
        <f>IFERROR(INDEX(V!$N:$N,MATCH(AI11,V!$I:$I,0)),"")</f>
        <v>89</v>
      </c>
      <c r="AK11" s="605" t="str">
        <f t="shared" si="6"/>
        <v>Ülo Piik</v>
      </c>
      <c r="AL11" s="604">
        <f>IFERROR(INDEX(V!$N:$N,MATCH(AK11,V!$I:$I,0)),"")</f>
        <v>22</v>
      </c>
      <c r="AM11" s="603" t="str">
        <f t="shared" si="7"/>
        <v/>
      </c>
      <c r="AN11" s="604" t="str">
        <f>IFERROR(INDEX(V!$N:$N,MATCH(AM11,V!$I:$I,0)),"")</f>
        <v/>
      </c>
      <c r="AO11" s="603" t="str">
        <f t="shared" si="8"/>
        <v/>
      </c>
      <c r="AP11" s="604" t="str">
        <f>IFERROR(INDEX(V!$N:$N,MATCH(AO11,V!$I:$I,0)),"")</f>
        <v/>
      </c>
    </row>
    <row r="12" spans="1:42" ht="12.75" customHeight="1" x14ac:dyDescent="0.2">
      <c r="A12" s="1319">
        <v>5</v>
      </c>
      <c r="B12" s="1328" t="s">
        <v>488</v>
      </c>
      <c r="C12" s="1323">
        <v>13</v>
      </c>
      <c r="D12" s="1324" t="s">
        <v>211</v>
      </c>
      <c r="E12" s="1325">
        <v>7</v>
      </c>
      <c r="F12" s="1315" t="s">
        <v>654</v>
      </c>
      <c r="G12" s="1323">
        <v>13</v>
      </c>
      <c r="H12" s="1324" t="s">
        <v>211</v>
      </c>
      <c r="I12" s="1325">
        <v>8</v>
      </c>
      <c r="J12" s="1315" t="s">
        <v>496</v>
      </c>
      <c r="K12" s="1323">
        <v>13</v>
      </c>
      <c r="L12" s="1324" t="s">
        <v>211</v>
      </c>
      <c r="M12" s="1325">
        <v>1</v>
      </c>
      <c r="N12" s="1315" t="s">
        <v>39</v>
      </c>
      <c r="O12" s="1323">
        <v>11</v>
      </c>
      <c r="P12" s="1324" t="s">
        <v>211</v>
      </c>
      <c r="Q12" s="1325">
        <v>13</v>
      </c>
      <c r="R12" s="1315" t="s">
        <v>413</v>
      </c>
      <c r="S12" s="1323">
        <v>8</v>
      </c>
      <c r="T12" s="1324" t="s">
        <v>211</v>
      </c>
      <c r="U12" s="1325">
        <v>13</v>
      </c>
      <c r="V12" s="1315" t="s">
        <v>662</v>
      </c>
      <c r="W12" s="1323"/>
      <c r="X12" s="1324" t="s">
        <v>211</v>
      </c>
      <c r="Y12" s="1325"/>
      <c r="Z12" s="1315"/>
      <c r="AA12" s="1335">
        <f t="shared" si="0"/>
        <v>3</v>
      </c>
      <c r="AB12" s="1331"/>
      <c r="AC12" s="1323">
        <f t="shared" si="1"/>
        <v>58</v>
      </c>
      <c r="AD12" s="1324" t="s">
        <v>211</v>
      </c>
      <c r="AE12" s="1326">
        <f t="shared" si="2"/>
        <v>42</v>
      </c>
      <c r="AF12" s="1327">
        <f t="shared" si="3"/>
        <v>16</v>
      </c>
      <c r="AG12" s="663"/>
      <c r="AH12" s="499">
        <f t="shared" si="9"/>
        <v>129</v>
      </c>
      <c r="AI12" s="605" t="str">
        <f t="shared" si="5"/>
        <v>Argo Sepp</v>
      </c>
      <c r="AJ12" s="604">
        <f>IFERROR(INDEX(V!$N:$N,MATCH(AI12,V!$I:$I,0)),"")</f>
        <v>31</v>
      </c>
      <c r="AK12" s="605" t="str">
        <f t="shared" si="6"/>
        <v>Jaan Sepp</v>
      </c>
      <c r="AL12" s="604">
        <f>IFERROR(INDEX(V!$N:$N,MATCH(AK12,V!$I:$I,0)),"")</f>
        <v>98</v>
      </c>
      <c r="AM12" s="603" t="str">
        <f t="shared" si="7"/>
        <v/>
      </c>
      <c r="AN12" s="604" t="str">
        <f>IFERROR(INDEX(V!$N:$N,MATCH(AM12,V!$I:$I,0)),"")</f>
        <v/>
      </c>
      <c r="AO12" s="603" t="str">
        <f t="shared" si="8"/>
        <v/>
      </c>
      <c r="AP12" s="604" t="str">
        <f>IFERROR(INDEX(V!$N:$N,MATCH(AO12,V!$I:$I,0)),"")</f>
        <v/>
      </c>
    </row>
    <row r="13" spans="1:42" ht="12.75" customHeight="1" x14ac:dyDescent="0.2">
      <c r="A13" s="1319">
        <v>6</v>
      </c>
      <c r="B13" s="1328" t="s">
        <v>439</v>
      </c>
      <c r="C13" s="1323">
        <v>13</v>
      </c>
      <c r="D13" s="1324" t="s">
        <v>211</v>
      </c>
      <c r="E13" s="1325">
        <v>7</v>
      </c>
      <c r="F13" s="1315" t="s">
        <v>725</v>
      </c>
      <c r="G13" s="1323">
        <v>3</v>
      </c>
      <c r="H13" s="1324" t="s">
        <v>211</v>
      </c>
      <c r="I13" s="1325">
        <v>13</v>
      </c>
      <c r="J13" s="1315" t="s">
        <v>481</v>
      </c>
      <c r="K13" s="1323">
        <v>2</v>
      </c>
      <c r="L13" s="1324" t="s">
        <v>211</v>
      </c>
      <c r="M13" s="1325">
        <v>13</v>
      </c>
      <c r="N13" s="1315" t="s">
        <v>663</v>
      </c>
      <c r="O13" s="1323">
        <v>13</v>
      </c>
      <c r="P13" s="1324" t="s">
        <v>211</v>
      </c>
      <c r="Q13" s="1325">
        <v>6</v>
      </c>
      <c r="R13" s="1315" t="s">
        <v>39</v>
      </c>
      <c r="S13" s="1323">
        <v>13</v>
      </c>
      <c r="T13" s="1324" t="s">
        <v>211</v>
      </c>
      <c r="U13" s="1325">
        <v>11</v>
      </c>
      <c r="V13" s="1315" t="s">
        <v>654</v>
      </c>
      <c r="W13" s="1323"/>
      <c r="X13" s="1324" t="s">
        <v>211</v>
      </c>
      <c r="Y13" s="1325"/>
      <c r="Z13" s="1315"/>
      <c r="AA13" s="1335">
        <f t="shared" si="0"/>
        <v>3</v>
      </c>
      <c r="AB13" s="1331"/>
      <c r="AC13" s="1323">
        <f t="shared" si="1"/>
        <v>44</v>
      </c>
      <c r="AD13" s="1324" t="s">
        <v>211</v>
      </c>
      <c r="AE13" s="1326">
        <f t="shared" si="2"/>
        <v>50</v>
      </c>
      <c r="AF13" s="1327">
        <f t="shared" si="3"/>
        <v>-6</v>
      </c>
      <c r="AG13" s="663"/>
      <c r="AH13" s="499">
        <f t="shared" si="9"/>
        <v>114</v>
      </c>
      <c r="AI13" s="605" t="str">
        <f t="shared" si="5"/>
        <v>Meelis Luud</v>
      </c>
      <c r="AJ13" s="604">
        <f>IFERROR(INDEX(V!$N:$N,MATCH(AI13,V!$I:$I,0)),"")</f>
        <v>60.5</v>
      </c>
      <c r="AK13" s="605" t="str">
        <f t="shared" si="6"/>
        <v>Urmas Randlaine</v>
      </c>
      <c r="AL13" s="604">
        <f>IFERROR(INDEX(V!$N:$N,MATCH(AK13,V!$I:$I,0)),"")</f>
        <v>53.5</v>
      </c>
      <c r="AM13" s="603" t="str">
        <f t="shared" si="7"/>
        <v/>
      </c>
      <c r="AN13" s="604" t="str">
        <f>IFERROR(INDEX(V!$N:$N,MATCH(AM13,V!$I:$I,0)),"")</f>
        <v/>
      </c>
      <c r="AO13" s="603" t="str">
        <f t="shared" si="8"/>
        <v/>
      </c>
      <c r="AP13" s="604" t="str">
        <f>IFERROR(INDEX(V!$N:$N,MATCH(AO13,V!$I:$I,0)),"")</f>
        <v/>
      </c>
    </row>
    <row r="14" spans="1:42" ht="12.75" customHeight="1" x14ac:dyDescent="0.2">
      <c r="A14" s="1319">
        <v>7</v>
      </c>
      <c r="B14" s="1328" t="s">
        <v>654</v>
      </c>
      <c r="C14" s="1323">
        <v>7</v>
      </c>
      <c r="D14" s="1324" t="s">
        <v>211</v>
      </c>
      <c r="E14" s="1325">
        <v>13</v>
      </c>
      <c r="F14" s="1315" t="s">
        <v>488</v>
      </c>
      <c r="G14" s="1323">
        <v>13</v>
      </c>
      <c r="H14" s="1324" t="s">
        <v>211</v>
      </c>
      <c r="I14" s="1325">
        <v>10</v>
      </c>
      <c r="J14" s="1315" t="s">
        <v>664</v>
      </c>
      <c r="K14" s="1323">
        <v>13</v>
      </c>
      <c r="L14" s="1324" t="s">
        <v>211</v>
      </c>
      <c r="M14" s="1325">
        <v>5</v>
      </c>
      <c r="N14" s="1315" t="s">
        <v>496</v>
      </c>
      <c r="O14" s="1323">
        <v>5</v>
      </c>
      <c r="P14" s="1324" t="s">
        <v>211</v>
      </c>
      <c r="Q14" s="1325">
        <v>13</v>
      </c>
      <c r="R14" s="1315" t="s">
        <v>663</v>
      </c>
      <c r="S14" s="1323">
        <v>11</v>
      </c>
      <c r="T14" s="1324" t="s">
        <v>211</v>
      </c>
      <c r="U14" s="1325">
        <v>13</v>
      </c>
      <c r="V14" s="1315" t="s">
        <v>439</v>
      </c>
      <c r="W14" s="1323"/>
      <c r="X14" s="1324" t="s">
        <v>211</v>
      </c>
      <c r="Y14" s="1325"/>
      <c r="Z14" s="1315"/>
      <c r="AA14" s="1330">
        <f t="shared" si="0"/>
        <v>2</v>
      </c>
      <c r="AB14" s="1331"/>
      <c r="AC14" s="1323">
        <f t="shared" si="1"/>
        <v>49</v>
      </c>
      <c r="AD14" s="1324" t="s">
        <v>211</v>
      </c>
      <c r="AE14" s="1326">
        <f t="shared" si="2"/>
        <v>54</v>
      </c>
      <c r="AF14" s="1327">
        <f t="shared" si="3"/>
        <v>-5</v>
      </c>
      <c r="AG14" s="663"/>
      <c r="AH14" s="499">
        <f t="shared" si="9"/>
        <v>66.5</v>
      </c>
      <c r="AI14" s="605" t="str">
        <f t="shared" si="5"/>
        <v>Henri Mitt</v>
      </c>
      <c r="AJ14" s="604">
        <f>IFERROR(INDEX(V!$N:$N,MATCH(AI14,V!$I:$I,0)),"")</f>
        <v>46.5</v>
      </c>
      <c r="AK14" s="605" t="str">
        <f t="shared" si="6"/>
        <v>Melika Lehtla</v>
      </c>
      <c r="AL14" s="604">
        <f>IFERROR(INDEX(V!$N:$N,MATCH(AK14,V!$I:$I,0)),"")</f>
        <v>20</v>
      </c>
      <c r="AM14" s="603" t="str">
        <f t="shared" si="7"/>
        <v/>
      </c>
      <c r="AN14" s="604" t="str">
        <f>IFERROR(INDEX(V!$N:$N,MATCH(AM14,V!$I:$I,0)),"")</f>
        <v/>
      </c>
      <c r="AO14" s="603" t="str">
        <f t="shared" si="8"/>
        <v/>
      </c>
      <c r="AP14" s="604" t="str">
        <f>IFERROR(INDEX(V!$N:$N,MATCH(AO14,V!$I:$I,0)),"")</f>
        <v/>
      </c>
    </row>
    <row r="15" spans="1:42" ht="12.75" customHeight="1" x14ac:dyDescent="0.2">
      <c r="A15" s="1319">
        <v>8</v>
      </c>
      <c r="B15" s="1328" t="s">
        <v>664</v>
      </c>
      <c r="C15" s="1323">
        <v>9</v>
      </c>
      <c r="D15" s="1324" t="s">
        <v>211</v>
      </c>
      <c r="E15" s="1325">
        <v>13</v>
      </c>
      <c r="F15" s="1315" t="s">
        <v>662</v>
      </c>
      <c r="G15" s="1323">
        <v>10</v>
      </c>
      <c r="H15" s="1324" t="s">
        <v>211</v>
      </c>
      <c r="I15" s="1325">
        <v>13</v>
      </c>
      <c r="J15" s="1315" t="s">
        <v>654</v>
      </c>
      <c r="K15" s="1323">
        <v>13</v>
      </c>
      <c r="L15" s="1324" t="s">
        <v>211</v>
      </c>
      <c r="M15" s="1325">
        <v>7</v>
      </c>
      <c r="N15" s="1315" t="s">
        <v>725</v>
      </c>
      <c r="O15" s="1323">
        <v>13</v>
      </c>
      <c r="P15" s="1324" t="s">
        <v>211</v>
      </c>
      <c r="Q15" s="1325">
        <v>5</v>
      </c>
      <c r="R15" s="1315" t="s">
        <v>496</v>
      </c>
      <c r="S15" s="1323">
        <v>5</v>
      </c>
      <c r="T15" s="1324" t="s">
        <v>211</v>
      </c>
      <c r="U15" s="1325">
        <v>13</v>
      </c>
      <c r="V15" s="1315" t="s">
        <v>481</v>
      </c>
      <c r="W15" s="1323"/>
      <c r="X15" s="1324" t="s">
        <v>211</v>
      </c>
      <c r="Y15" s="1325"/>
      <c r="Z15" s="1315"/>
      <c r="AA15" s="1330">
        <f t="shared" si="0"/>
        <v>2</v>
      </c>
      <c r="AB15" s="1331"/>
      <c r="AC15" s="1323">
        <f t="shared" si="1"/>
        <v>50</v>
      </c>
      <c r="AD15" s="1324" t="s">
        <v>211</v>
      </c>
      <c r="AE15" s="1326">
        <f t="shared" si="2"/>
        <v>51</v>
      </c>
      <c r="AF15" s="1327">
        <f t="shared" si="3"/>
        <v>-1</v>
      </c>
      <c r="AG15" s="663"/>
      <c r="AH15" s="499">
        <f t="shared" si="9"/>
        <v>47.5</v>
      </c>
      <c r="AI15" s="605" t="str">
        <f t="shared" si="5"/>
        <v>Andrei Grintšak</v>
      </c>
      <c r="AJ15" s="604">
        <f>IFERROR(INDEX(V!$N:$N,MATCH(AI15,V!$I:$I,0)),"")</f>
        <v>33.5</v>
      </c>
      <c r="AK15" s="605" t="str">
        <f t="shared" si="6"/>
        <v>Illar Tõnurist</v>
      </c>
      <c r="AL15" s="604">
        <f>IFERROR(INDEX(V!$N:$N,MATCH(AK15,V!$I:$I,0)),"")</f>
        <v>14</v>
      </c>
      <c r="AM15" s="603" t="str">
        <f t="shared" si="7"/>
        <v/>
      </c>
      <c r="AN15" s="604" t="str">
        <f>IFERROR(INDEX(V!$N:$N,MATCH(AM15,V!$I:$I,0)),"")</f>
        <v/>
      </c>
      <c r="AO15" s="603" t="str">
        <f t="shared" si="8"/>
        <v/>
      </c>
      <c r="AP15" s="604" t="str">
        <f>IFERROR(INDEX(V!$N:$N,MATCH(AO15,V!$I:$I,0)),"")</f>
        <v/>
      </c>
    </row>
    <row r="16" spans="1:42" ht="12.75" customHeight="1" x14ac:dyDescent="0.2">
      <c r="A16" s="1319">
        <v>9</v>
      </c>
      <c r="B16" s="1328" t="s">
        <v>496</v>
      </c>
      <c r="C16" s="1323">
        <v>13</v>
      </c>
      <c r="D16" s="1324" t="s">
        <v>211</v>
      </c>
      <c r="E16" s="1325">
        <v>4</v>
      </c>
      <c r="F16" s="1315" t="s">
        <v>39</v>
      </c>
      <c r="G16" s="1323">
        <v>8</v>
      </c>
      <c r="H16" s="1324" t="s">
        <v>211</v>
      </c>
      <c r="I16" s="1325">
        <v>13</v>
      </c>
      <c r="J16" s="1315" t="s">
        <v>488</v>
      </c>
      <c r="K16" s="1323">
        <v>5</v>
      </c>
      <c r="L16" s="1324" t="s">
        <v>211</v>
      </c>
      <c r="M16" s="1325">
        <v>13</v>
      </c>
      <c r="N16" s="1315" t="s">
        <v>654</v>
      </c>
      <c r="O16" s="1323">
        <v>5</v>
      </c>
      <c r="P16" s="1324" t="s">
        <v>211</v>
      </c>
      <c r="Q16" s="1325">
        <v>13</v>
      </c>
      <c r="R16" s="1315" t="s">
        <v>664</v>
      </c>
      <c r="S16" s="1323">
        <v>13</v>
      </c>
      <c r="T16" s="1324" t="s">
        <v>211</v>
      </c>
      <c r="U16" s="1325">
        <v>7</v>
      </c>
      <c r="V16" s="1315" t="s">
        <v>725</v>
      </c>
      <c r="W16" s="1323"/>
      <c r="X16" s="1324" t="s">
        <v>211</v>
      </c>
      <c r="Y16" s="1325"/>
      <c r="Z16" s="1315"/>
      <c r="AA16" s="1330">
        <f t="shared" si="0"/>
        <v>2</v>
      </c>
      <c r="AB16" s="1331"/>
      <c r="AC16" s="1323">
        <f t="shared" si="1"/>
        <v>44</v>
      </c>
      <c r="AD16" s="1324" t="s">
        <v>211</v>
      </c>
      <c r="AE16" s="1326">
        <f t="shared" si="2"/>
        <v>50</v>
      </c>
      <c r="AF16" s="1327">
        <f t="shared" si="3"/>
        <v>-6</v>
      </c>
      <c r="AG16" s="663"/>
      <c r="AH16" s="499">
        <f t="shared" si="9"/>
        <v>121</v>
      </c>
      <c r="AI16" s="605" t="str">
        <f t="shared" si="5"/>
        <v>Einar Juhkam</v>
      </c>
      <c r="AJ16" s="604">
        <f>IFERROR(INDEX(V!$N:$N,MATCH(AI16,V!$I:$I,0)),"")</f>
        <v>34</v>
      </c>
      <c r="AK16" s="605" t="str">
        <f t="shared" si="6"/>
        <v>Kenneth Muusikus</v>
      </c>
      <c r="AL16" s="604">
        <f>IFERROR(INDEX(V!$N:$N,MATCH(AK16,V!$I:$I,0)),"")</f>
        <v>87</v>
      </c>
      <c r="AM16" s="603" t="str">
        <f t="shared" si="7"/>
        <v/>
      </c>
      <c r="AN16" s="604" t="str">
        <f>IFERROR(INDEX(V!$N:$N,MATCH(AM16,V!$I:$I,0)),"")</f>
        <v/>
      </c>
      <c r="AO16" s="603" t="str">
        <f t="shared" si="8"/>
        <v/>
      </c>
      <c r="AP16" s="604" t="str">
        <f>IFERROR(INDEX(V!$N:$N,MATCH(AO16,V!$I:$I,0)),"")</f>
        <v/>
      </c>
    </row>
    <row r="17" spans="1:42" ht="12.75" customHeight="1" x14ac:dyDescent="0.2">
      <c r="A17" s="1319">
        <v>10</v>
      </c>
      <c r="B17" s="1322" t="s">
        <v>39</v>
      </c>
      <c r="C17" s="1323">
        <v>4</v>
      </c>
      <c r="D17" s="1324" t="s">
        <v>211</v>
      </c>
      <c r="E17" s="1325">
        <v>13</v>
      </c>
      <c r="F17" s="1315" t="s">
        <v>496</v>
      </c>
      <c r="G17" s="1323">
        <v>13</v>
      </c>
      <c r="H17" s="1324" t="s">
        <v>211</v>
      </c>
      <c r="I17" s="1325">
        <v>7</v>
      </c>
      <c r="J17" s="1315" t="s">
        <v>725</v>
      </c>
      <c r="K17" s="1323">
        <v>1</v>
      </c>
      <c r="L17" s="1324" t="s">
        <v>211</v>
      </c>
      <c r="M17" s="1325">
        <v>13</v>
      </c>
      <c r="N17" s="1315" t="s">
        <v>488</v>
      </c>
      <c r="O17" s="1323">
        <v>6</v>
      </c>
      <c r="P17" s="1324" t="s">
        <v>211</v>
      </c>
      <c r="Q17" s="1325">
        <v>13</v>
      </c>
      <c r="R17" s="1315" t="s">
        <v>439</v>
      </c>
      <c r="S17" s="1323">
        <v>13</v>
      </c>
      <c r="T17" s="1324" t="s">
        <v>211</v>
      </c>
      <c r="U17" s="1325">
        <v>9</v>
      </c>
      <c r="V17" s="1315" t="s">
        <v>665</v>
      </c>
      <c r="W17" s="1323"/>
      <c r="X17" s="1324" t="s">
        <v>211</v>
      </c>
      <c r="Y17" s="1325"/>
      <c r="Z17" s="1315"/>
      <c r="AA17" s="1330">
        <f t="shared" si="0"/>
        <v>2</v>
      </c>
      <c r="AB17" s="1331"/>
      <c r="AC17" s="1323">
        <f t="shared" si="1"/>
        <v>37</v>
      </c>
      <c r="AD17" s="1324" t="s">
        <v>211</v>
      </c>
      <c r="AE17" s="1326">
        <f t="shared" si="2"/>
        <v>55</v>
      </c>
      <c r="AF17" s="1327">
        <f t="shared" si="3"/>
        <v>-18</v>
      </c>
      <c r="AG17" s="663"/>
      <c r="AH17" s="499">
        <f t="shared" si="9"/>
        <v>65.5</v>
      </c>
      <c r="AI17" s="605" t="str">
        <f t="shared" si="5"/>
        <v>Enn Tokman</v>
      </c>
      <c r="AJ17" s="604">
        <f>IFERROR(INDEX(V!$N:$N,MATCH(AI17,V!$I:$I,0)),"")</f>
        <v>39.5</v>
      </c>
      <c r="AK17" s="605" t="str">
        <f t="shared" si="6"/>
        <v>Tarmo Bombe</v>
      </c>
      <c r="AL17" s="604">
        <f>IFERROR(INDEX(V!$N:$N,MATCH(AK17,V!$I:$I,0)),"")</f>
        <v>26</v>
      </c>
      <c r="AM17" s="603" t="str">
        <f t="shared" si="7"/>
        <v/>
      </c>
      <c r="AN17" s="604" t="str">
        <f>IFERROR(INDEX(V!$N:$N,MATCH(AM17,V!$I:$I,0)),"")</f>
        <v/>
      </c>
      <c r="AO17" s="603" t="str">
        <f t="shared" si="8"/>
        <v/>
      </c>
      <c r="AP17" s="604" t="str">
        <f>IFERROR(INDEX(V!$N:$N,MATCH(AO17,V!$I:$I,0)),"")</f>
        <v/>
      </c>
    </row>
    <row r="18" spans="1:42" ht="12.75" customHeight="1" x14ac:dyDescent="0.2">
      <c r="A18" s="1319">
        <v>11</v>
      </c>
      <c r="B18" s="1329" t="s">
        <v>665</v>
      </c>
      <c r="C18" s="1323">
        <v>9</v>
      </c>
      <c r="D18" s="1324" t="s">
        <v>211</v>
      </c>
      <c r="E18" s="1325">
        <v>13</v>
      </c>
      <c r="F18" s="1315" t="s">
        <v>413</v>
      </c>
      <c r="G18" s="1323">
        <v>3</v>
      </c>
      <c r="H18" s="1324" t="s">
        <v>211</v>
      </c>
      <c r="I18" s="1325">
        <v>13</v>
      </c>
      <c r="J18" s="1315" t="s">
        <v>663</v>
      </c>
      <c r="K18" s="1323">
        <v>4</v>
      </c>
      <c r="L18" s="1324" t="s">
        <v>211</v>
      </c>
      <c r="M18" s="1325">
        <v>13</v>
      </c>
      <c r="N18" s="1315" t="s">
        <v>662</v>
      </c>
      <c r="O18" s="1323">
        <v>13</v>
      </c>
      <c r="P18" s="1324" t="s">
        <v>211</v>
      </c>
      <c r="Q18" s="1325">
        <v>7</v>
      </c>
      <c r="R18" s="1315" t="s">
        <v>725</v>
      </c>
      <c r="S18" s="1323">
        <v>9</v>
      </c>
      <c r="T18" s="1324" t="s">
        <v>211</v>
      </c>
      <c r="U18" s="1325">
        <v>13</v>
      </c>
      <c r="V18" s="1315" t="s">
        <v>39</v>
      </c>
      <c r="W18" s="1323"/>
      <c r="X18" s="1324" t="s">
        <v>211</v>
      </c>
      <c r="Y18" s="1325"/>
      <c r="Z18" s="1315"/>
      <c r="AA18" s="1335">
        <f t="shared" si="0"/>
        <v>1</v>
      </c>
      <c r="AB18" s="1331"/>
      <c r="AC18" s="1323">
        <f t="shared" si="1"/>
        <v>38</v>
      </c>
      <c r="AD18" s="1324" t="s">
        <v>211</v>
      </c>
      <c r="AE18" s="1326">
        <f t="shared" si="2"/>
        <v>59</v>
      </c>
      <c r="AF18" s="1327">
        <f t="shared" si="3"/>
        <v>-21</v>
      </c>
      <c r="AG18" s="663"/>
      <c r="AH18" s="499">
        <f t="shared" si="9"/>
        <v>75.5</v>
      </c>
      <c r="AI18" s="605" t="str">
        <f t="shared" si="5"/>
        <v>Andres Veski</v>
      </c>
      <c r="AJ18" s="604">
        <f>IFERROR(INDEX(V!$N:$N,MATCH(AI18,V!$I:$I,0)),"")</f>
        <v>29</v>
      </c>
      <c r="AK18" s="605" t="str">
        <f t="shared" si="6"/>
        <v>Karla Purgats</v>
      </c>
      <c r="AL18" s="604">
        <f>IFERROR(INDEX(V!$N:$N,MATCH(AK18,V!$I:$I,0)),"")</f>
        <v>46.5</v>
      </c>
      <c r="AM18" s="603" t="str">
        <f t="shared" si="7"/>
        <v/>
      </c>
      <c r="AN18" s="604" t="str">
        <f>IFERROR(INDEX(V!$N:$N,MATCH(AM18,V!$I:$I,0)),"")</f>
        <v/>
      </c>
      <c r="AO18" s="603" t="str">
        <f t="shared" si="8"/>
        <v/>
      </c>
      <c r="AP18" s="604" t="str">
        <f>IFERROR(INDEX(V!$N:$N,MATCH(AO18,V!$I:$I,0)),"")</f>
        <v/>
      </c>
    </row>
    <row r="19" spans="1:42" ht="12.75" hidden="1" customHeight="1" x14ac:dyDescent="0.2"/>
    <row r="20" spans="1:42" ht="12.75" hidden="1" customHeight="1" x14ac:dyDescent="0.2"/>
    <row r="21" spans="1:42" ht="12.75" hidden="1" customHeight="1" x14ac:dyDescent="0.2">
      <c r="L21" s="32"/>
      <c r="M21" s="32"/>
      <c r="N21" s="32"/>
      <c r="T21" s="32"/>
      <c r="U21" s="32"/>
      <c r="V21" s="32"/>
      <c r="W21" s="223"/>
    </row>
    <row r="22" spans="1:42" ht="12.75" hidden="1" customHeight="1" x14ac:dyDescent="0.2">
      <c r="L22" s="32"/>
      <c r="M22" s="32"/>
      <c r="N22" s="32"/>
      <c r="T22" s="32"/>
      <c r="U22" s="32"/>
      <c r="V22" s="32"/>
      <c r="W22" s="223"/>
    </row>
    <row r="23" spans="1:42" ht="12.75" hidden="1" customHeight="1" x14ac:dyDescent="0.2">
      <c r="K23" s="42"/>
      <c r="L23" s="32"/>
      <c r="M23" s="32"/>
      <c r="N23" s="32"/>
      <c r="T23" s="32"/>
      <c r="U23" s="32"/>
      <c r="V23" s="32"/>
      <c r="W23" s="223"/>
    </row>
    <row r="24" spans="1:42" ht="12.75" hidden="1" customHeight="1" x14ac:dyDescent="0.2">
      <c r="K24" s="42"/>
      <c r="L24" s="32"/>
      <c r="M24" s="32"/>
      <c r="N24" s="32"/>
      <c r="T24" s="32"/>
      <c r="U24" s="32"/>
      <c r="V24" s="32"/>
      <c r="W24" s="223"/>
    </row>
    <row r="25" spans="1:42" ht="12.75" hidden="1" customHeight="1" x14ac:dyDescent="0.2">
      <c r="K25" s="42"/>
      <c r="L25" s="32"/>
      <c r="M25" s="32"/>
      <c r="N25" s="32"/>
      <c r="T25" s="32"/>
      <c r="U25" s="32"/>
      <c r="V25" s="32"/>
      <c r="W25" s="223"/>
    </row>
    <row r="26" spans="1:42" ht="12.75" hidden="1" customHeight="1" x14ac:dyDescent="0.2">
      <c r="L26" s="32"/>
      <c r="M26" s="32"/>
      <c r="N26" s="32"/>
      <c r="T26" s="32"/>
      <c r="U26" s="32"/>
      <c r="V26" s="32"/>
      <c r="W26" s="223"/>
    </row>
    <row r="27" spans="1:42" ht="12.75" hidden="1" customHeight="1" x14ac:dyDescent="0.2">
      <c r="L27" s="32"/>
      <c r="M27" s="32"/>
      <c r="N27" s="32"/>
      <c r="T27" s="32"/>
      <c r="U27" s="32"/>
      <c r="V27" s="32"/>
      <c r="W27" s="223"/>
    </row>
    <row r="28" spans="1:42" ht="12.75" hidden="1" customHeight="1" x14ac:dyDescent="0.2">
      <c r="L28" s="32"/>
      <c r="M28" s="32"/>
      <c r="N28" s="32"/>
      <c r="T28" s="32"/>
      <c r="U28" s="32"/>
      <c r="V28" s="32"/>
      <c r="W28" s="223"/>
    </row>
    <row r="29" spans="1:42" ht="12.75" hidden="1" customHeight="1" x14ac:dyDescent="0.2">
      <c r="L29" s="32"/>
      <c r="M29" s="32"/>
      <c r="N29" s="32"/>
      <c r="T29" s="32"/>
      <c r="U29" s="32"/>
      <c r="V29" s="32"/>
      <c r="W29" s="223"/>
    </row>
    <row r="30" spans="1:42" ht="12.75" hidden="1" customHeight="1" x14ac:dyDescent="0.2">
      <c r="L30" s="32"/>
      <c r="M30" s="32"/>
      <c r="N30" s="32"/>
      <c r="T30" s="32"/>
      <c r="U30" s="32"/>
      <c r="V30" s="32"/>
      <c r="W30" s="223"/>
    </row>
    <row r="31" spans="1:42" ht="12.75" hidden="1" customHeight="1" x14ac:dyDescent="0.2">
      <c r="L31" s="32"/>
      <c r="M31" s="32"/>
      <c r="N31" s="32"/>
      <c r="T31" s="32"/>
      <c r="U31" s="32"/>
      <c r="V31" s="32"/>
      <c r="W31" s="223"/>
    </row>
    <row r="32" spans="1:42" ht="12.75" hidden="1" customHeight="1" x14ac:dyDescent="0.2">
      <c r="L32" s="32"/>
      <c r="M32" s="32"/>
      <c r="N32" s="32"/>
      <c r="T32" s="32"/>
      <c r="U32" s="32"/>
      <c r="V32" s="32"/>
      <c r="W32" s="223"/>
    </row>
    <row r="33" spans="12:23" ht="12.75" hidden="1" customHeight="1" x14ac:dyDescent="0.2">
      <c r="L33" s="32"/>
      <c r="M33" s="32"/>
      <c r="N33" s="32"/>
      <c r="T33" s="32"/>
      <c r="U33" s="32"/>
      <c r="V33" s="32"/>
      <c r="W33" s="223"/>
    </row>
    <row r="34" spans="12:23" ht="12.75" hidden="1" customHeight="1" x14ac:dyDescent="0.2">
      <c r="L34" s="32"/>
      <c r="M34" s="32"/>
      <c r="N34" s="32"/>
      <c r="T34" s="32"/>
      <c r="U34" s="32"/>
      <c r="V34" s="32"/>
      <c r="W34" s="223"/>
    </row>
    <row r="35" spans="12:23" ht="12.75" hidden="1" customHeight="1" x14ac:dyDescent="0.2">
      <c r="L35" s="32"/>
      <c r="M35" s="32"/>
      <c r="N35" s="32"/>
      <c r="T35" s="32"/>
      <c r="U35" s="32"/>
      <c r="V35" s="32"/>
      <c r="W35" s="223"/>
    </row>
    <row r="36" spans="12:23" ht="12.75" hidden="1" customHeight="1" x14ac:dyDescent="0.2">
      <c r="L36" s="32"/>
      <c r="M36" s="32"/>
      <c r="N36" s="32"/>
      <c r="T36" s="32"/>
      <c r="U36" s="32"/>
      <c r="V36" s="32"/>
      <c r="W36" s="223"/>
    </row>
    <row r="37" spans="12:23" ht="12.75" hidden="1" customHeight="1" x14ac:dyDescent="0.2">
      <c r="L37" s="32"/>
      <c r="M37" s="32"/>
      <c r="N37" s="32"/>
      <c r="T37" s="32"/>
      <c r="U37" s="32"/>
      <c r="V37" s="32"/>
      <c r="W37" s="223"/>
    </row>
    <row r="38" spans="12:23" ht="12.75" hidden="1" customHeight="1" x14ac:dyDescent="0.2">
      <c r="L38" s="32"/>
      <c r="M38" s="32"/>
      <c r="N38" s="32"/>
      <c r="T38" s="32"/>
      <c r="U38" s="32"/>
      <c r="V38" s="32"/>
      <c r="W38" s="223"/>
    </row>
    <row r="39" spans="12:23" ht="12.75" hidden="1" customHeight="1" x14ac:dyDescent="0.2">
      <c r="L39" s="32"/>
      <c r="M39" s="32"/>
      <c r="N39" s="32"/>
      <c r="T39" s="32"/>
      <c r="U39" s="32"/>
      <c r="V39" s="32"/>
      <c r="W39" s="223"/>
    </row>
    <row r="40" spans="12:23" ht="12.75" hidden="1" customHeight="1" x14ac:dyDescent="0.2">
      <c r="L40" s="32"/>
      <c r="M40" s="32"/>
      <c r="N40" s="32"/>
      <c r="T40" s="32"/>
      <c r="U40" s="32"/>
      <c r="V40" s="32"/>
      <c r="W40" s="223"/>
    </row>
    <row r="41" spans="12:23" ht="12.75" hidden="1" customHeight="1" x14ac:dyDescent="0.2">
      <c r="L41" s="32"/>
      <c r="M41" s="32"/>
      <c r="N41" s="32"/>
      <c r="T41" s="32"/>
      <c r="U41" s="32"/>
      <c r="V41" s="32"/>
      <c r="W41" s="223"/>
    </row>
    <row r="42" spans="12:23" ht="12.75" hidden="1" customHeight="1" x14ac:dyDescent="0.2">
      <c r="L42" s="32"/>
      <c r="M42" s="32"/>
      <c r="N42" s="32"/>
      <c r="T42" s="32"/>
      <c r="U42" s="32"/>
      <c r="V42" s="32"/>
      <c r="W42" s="223"/>
    </row>
    <row r="43" spans="12:23" ht="12.75" hidden="1" customHeight="1" x14ac:dyDescent="0.2">
      <c r="L43" s="32"/>
      <c r="M43" s="32"/>
      <c r="N43" s="32"/>
      <c r="T43" s="32"/>
      <c r="U43" s="32"/>
      <c r="V43" s="32"/>
      <c r="W43" s="223"/>
    </row>
    <row r="44" spans="12:23" ht="12.75" hidden="1" customHeight="1" x14ac:dyDescent="0.2">
      <c r="L44" s="32"/>
      <c r="M44" s="32"/>
      <c r="N44" s="32"/>
      <c r="T44" s="32"/>
      <c r="U44" s="32"/>
      <c r="V44" s="32"/>
      <c r="W44" s="223"/>
    </row>
    <row r="45" spans="12:23" ht="12.75" hidden="1" customHeight="1" x14ac:dyDescent="0.2">
      <c r="L45" s="32"/>
      <c r="M45" s="32"/>
      <c r="N45" s="32"/>
      <c r="T45" s="32"/>
      <c r="U45" s="32"/>
      <c r="V45" s="32"/>
      <c r="W45" s="223"/>
    </row>
    <row r="46" spans="12:23" ht="12.75" hidden="1" customHeight="1" x14ac:dyDescent="0.2">
      <c r="L46" s="32"/>
      <c r="M46" s="32"/>
      <c r="N46" s="32"/>
      <c r="T46" s="32"/>
      <c r="U46" s="32"/>
      <c r="V46" s="32"/>
      <c r="W46" s="223"/>
    </row>
    <row r="47" spans="12:23" ht="12.75" hidden="1" customHeight="1" x14ac:dyDescent="0.2">
      <c r="L47" s="32"/>
      <c r="M47" s="32"/>
      <c r="N47" s="32"/>
      <c r="T47" s="32"/>
      <c r="U47" s="32"/>
      <c r="V47" s="32"/>
      <c r="W47" s="223"/>
    </row>
    <row r="48" spans="12:23" ht="12.75" hidden="1" customHeight="1" x14ac:dyDescent="0.2">
      <c r="L48" s="32"/>
      <c r="M48" s="32"/>
      <c r="N48" s="32"/>
      <c r="T48" s="32"/>
      <c r="U48" s="32"/>
      <c r="V48" s="32"/>
      <c r="W48" s="223"/>
    </row>
    <row r="49" spans="12:23" ht="12.75" hidden="1" customHeight="1" x14ac:dyDescent="0.2">
      <c r="L49" s="32"/>
      <c r="M49" s="32"/>
      <c r="N49" s="32"/>
      <c r="T49" s="32"/>
      <c r="U49" s="32"/>
      <c r="V49" s="32"/>
      <c r="W49" s="223"/>
    </row>
    <row r="50" spans="12:23" ht="12.75" hidden="1" customHeight="1" x14ac:dyDescent="0.2">
      <c r="L50" s="32"/>
      <c r="M50" s="32"/>
      <c r="N50" s="32"/>
      <c r="T50" s="32"/>
      <c r="U50" s="32"/>
      <c r="V50" s="32"/>
      <c r="W50" s="223"/>
    </row>
    <row r="51" spans="12:23" ht="12.75" hidden="1" customHeight="1" x14ac:dyDescent="0.2">
      <c r="L51" s="32"/>
      <c r="M51" s="32"/>
      <c r="N51" s="32"/>
      <c r="T51" s="32"/>
      <c r="U51" s="32"/>
      <c r="V51" s="32"/>
      <c r="W51" s="223"/>
    </row>
    <row r="52" spans="12:23" ht="12.75" hidden="1" customHeight="1" x14ac:dyDescent="0.2">
      <c r="L52" s="32"/>
      <c r="M52" s="32"/>
      <c r="N52" s="32"/>
      <c r="T52" s="32"/>
      <c r="U52" s="32"/>
      <c r="V52" s="32"/>
      <c r="W52" s="223"/>
    </row>
    <row r="53" spans="12:23" ht="12.75" hidden="1" customHeight="1" x14ac:dyDescent="0.2">
      <c r="L53" s="32"/>
      <c r="M53" s="32"/>
      <c r="N53" s="32"/>
      <c r="T53" s="32"/>
      <c r="U53" s="32"/>
      <c r="V53" s="32"/>
      <c r="W53" s="223"/>
    </row>
    <row r="54" spans="12:23" ht="12.75" hidden="1" customHeight="1" x14ac:dyDescent="0.2">
      <c r="L54" s="32"/>
      <c r="M54" s="32"/>
      <c r="N54" s="32"/>
      <c r="T54" s="32"/>
      <c r="U54" s="32"/>
      <c r="V54" s="32"/>
      <c r="W54" s="223"/>
    </row>
    <row r="55" spans="12:23" ht="12.75" hidden="1" customHeight="1" x14ac:dyDescent="0.2">
      <c r="L55" s="32"/>
      <c r="M55" s="32"/>
      <c r="N55" s="32"/>
      <c r="T55" s="32"/>
      <c r="U55" s="32"/>
      <c r="V55" s="32"/>
      <c r="W55" s="223"/>
    </row>
    <row r="56" spans="12:23" ht="12.75" hidden="1" customHeight="1" x14ac:dyDescent="0.2">
      <c r="L56" s="32"/>
      <c r="M56" s="32"/>
      <c r="N56" s="32"/>
      <c r="T56" s="32"/>
      <c r="U56" s="32"/>
      <c r="V56" s="32"/>
      <c r="W56" s="223"/>
    </row>
    <row r="57" spans="12:23" ht="12.75" hidden="1" customHeight="1" x14ac:dyDescent="0.2">
      <c r="L57" s="32"/>
      <c r="M57" s="32"/>
      <c r="N57" s="32"/>
      <c r="T57" s="32"/>
      <c r="U57" s="32"/>
      <c r="V57" s="32"/>
      <c r="W57" s="223"/>
    </row>
    <row r="58" spans="12:23" ht="12.75" hidden="1" customHeight="1" x14ac:dyDescent="0.2">
      <c r="L58" s="32"/>
      <c r="M58" s="32"/>
      <c r="N58" s="32"/>
      <c r="T58" s="32"/>
      <c r="U58" s="32"/>
      <c r="V58" s="32"/>
      <c r="W58" s="223"/>
    </row>
    <row r="59" spans="12:23" ht="12.75" hidden="1" customHeight="1" x14ac:dyDescent="0.2">
      <c r="L59" s="32"/>
      <c r="M59" s="32"/>
      <c r="N59" s="32"/>
      <c r="T59" s="32"/>
      <c r="U59" s="32"/>
      <c r="V59" s="32"/>
      <c r="W59" s="223"/>
    </row>
    <row r="60" spans="12:23" ht="12.75" hidden="1" customHeight="1" x14ac:dyDescent="0.2">
      <c r="L60" s="32"/>
      <c r="M60" s="32"/>
      <c r="N60" s="32"/>
      <c r="T60" s="32"/>
      <c r="U60" s="32"/>
      <c r="V60" s="32"/>
      <c r="W60" s="223"/>
    </row>
    <row r="61" spans="12:23" ht="12.75" hidden="1" customHeight="1" x14ac:dyDescent="0.2">
      <c r="L61" s="32"/>
      <c r="M61" s="32"/>
      <c r="N61" s="32"/>
      <c r="T61" s="32"/>
      <c r="U61" s="32"/>
      <c r="V61" s="32"/>
      <c r="W61" s="223"/>
    </row>
    <row r="62" spans="12:23" ht="12.75" hidden="1" customHeight="1" x14ac:dyDescent="0.2">
      <c r="L62" s="32"/>
      <c r="M62" s="32"/>
      <c r="N62" s="32"/>
      <c r="T62" s="32"/>
      <c r="U62" s="32"/>
      <c r="V62" s="32"/>
      <c r="W62" s="223"/>
    </row>
    <row r="63" spans="12:23" ht="12.75" hidden="1" customHeight="1" x14ac:dyDescent="0.2">
      <c r="L63" s="32"/>
      <c r="M63" s="32"/>
      <c r="N63" s="32"/>
      <c r="T63" s="32"/>
      <c r="U63" s="32"/>
      <c r="V63" s="32"/>
      <c r="W63" s="223"/>
    </row>
    <row r="64" spans="12:23" ht="12.75" hidden="1" customHeight="1" x14ac:dyDescent="0.2">
      <c r="L64" s="32"/>
      <c r="M64" s="32"/>
      <c r="N64" s="32"/>
      <c r="T64" s="32"/>
      <c r="U64" s="32"/>
      <c r="V64" s="32"/>
      <c r="W64" s="223"/>
    </row>
    <row r="65" spans="12:23" ht="12.75" hidden="1" customHeight="1" x14ac:dyDescent="0.2">
      <c r="L65" s="32"/>
      <c r="M65" s="32"/>
      <c r="N65" s="32"/>
      <c r="T65" s="32"/>
      <c r="U65" s="32"/>
      <c r="V65" s="32"/>
      <c r="W65" s="223"/>
    </row>
    <row r="66" spans="12:23" ht="12.75" hidden="1" customHeight="1" x14ac:dyDescent="0.2">
      <c r="L66" s="32"/>
      <c r="M66" s="32"/>
      <c r="N66" s="32"/>
      <c r="T66" s="32"/>
      <c r="U66" s="32"/>
      <c r="V66" s="32"/>
      <c r="W66" s="223"/>
    </row>
    <row r="67" spans="12:23" ht="12.75" hidden="1" customHeight="1" x14ac:dyDescent="0.2">
      <c r="L67" s="32"/>
      <c r="M67" s="32"/>
      <c r="N67" s="32"/>
      <c r="T67" s="32"/>
      <c r="U67" s="32"/>
      <c r="V67" s="32"/>
      <c r="W67" s="223"/>
    </row>
    <row r="68" spans="12:23" ht="12.75" hidden="1" customHeight="1" x14ac:dyDescent="0.2">
      <c r="L68" s="32"/>
      <c r="M68" s="32"/>
      <c r="N68" s="32"/>
      <c r="T68" s="32"/>
      <c r="U68" s="32"/>
      <c r="V68" s="32"/>
      <c r="W68" s="223"/>
    </row>
    <row r="69" spans="12:23" ht="12.75" hidden="1" customHeight="1" x14ac:dyDescent="0.2">
      <c r="L69" s="32"/>
      <c r="M69" s="32"/>
      <c r="N69" s="32"/>
      <c r="T69" s="32"/>
      <c r="U69" s="32"/>
      <c r="V69" s="32"/>
      <c r="W69" s="223"/>
    </row>
    <row r="70" spans="12:23" ht="12.75" hidden="1" customHeight="1" x14ac:dyDescent="0.2">
      <c r="L70" s="32"/>
      <c r="M70" s="32"/>
      <c r="N70" s="32"/>
      <c r="T70" s="32"/>
      <c r="U70" s="32"/>
      <c r="V70" s="32"/>
      <c r="W70" s="223"/>
    </row>
    <row r="71" spans="12:23" ht="12.75" hidden="1" customHeight="1" x14ac:dyDescent="0.2">
      <c r="L71" s="32"/>
      <c r="M71" s="32"/>
      <c r="N71" s="32"/>
      <c r="T71" s="32"/>
      <c r="U71" s="32"/>
      <c r="V71" s="32"/>
      <c r="W71" s="223"/>
    </row>
    <row r="72" spans="12:23" ht="12.75" hidden="1" customHeight="1" x14ac:dyDescent="0.2">
      <c r="L72" s="32"/>
      <c r="M72" s="32"/>
      <c r="N72" s="32"/>
      <c r="T72" s="32"/>
      <c r="U72" s="32"/>
      <c r="V72" s="32"/>
      <c r="W72" s="223"/>
    </row>
    <row r="73" spans="12:23" ht="12.75" hidden="1" customHeight="1" x14ac:dyDescent="0.2">
      <c r="L73" s="32"/>
      <c r="M73" s="32"/>
      <c r="N73" s="32"/>
      <c r="T73" s="32"/>
      <c r="U73" s="32"/>
      <c r="V73" s="32"/>
      <c r="W73" s="223"/>
    </row>
    <row r="74" spans="12:23" ht="12.75" hidden="1" customHeight="1" x14ac:dyDescent="0.2">
      <c r="L74" s="32"/>
      <c r="M74" s="32"/>
      <c r="N74" s="32"/>
      <c r="T74" s="32"/>
      <c r="U74" s="32"/>
      <c r="V74" s="32"/>
      <c r="W74" s="223"/>
    </row>
    <row r="75" spans="12:23" ht="12.75" hidden="1" customHeight="1" x14ac:dyDescent="0.2">
      <c r="L75" s="32"/>
      <c r="M75" s="32"/>
      <c r="N75" s="32"/>
      <c r="T75" s="32"/>
      <c r="U75" s="32"/>
      <c r="V75" s="32"/>
      <c r="W75" s="223"/>
    </row>
    <row r="76" spans="12:23" ht="12.75" hidden="1" customHeight="1" x14ac:dyDescent="0.2">
      <c r="L76" s="32"/>
      <c r="M76" s="32"/>
      <c r="N76" s="32"/>
      <c r="T76" s="32"/>
      <c r="U76" s="32"/>
      <c r="V76" s="32"/>
      <c r="W76" s="223"/>
    </row>
    <row r="77" spans="12:23" ht="12.75" hidden="1" customHeight="1" x14ac:dyDescent="0.2">
      <c r="L77" s="32"/>
      <c r="M77" s="32"/>
      <c r="N77" s="32"/>
      <c r="T77" s="32"/>
      <c r="U77" s="32"/>
      <c r="V77" s="32"/>
      <c r="W77" s="223"/>
    </row>
    <row r="78" spans="12:23" ht="12.75" hidden="1" customHeight="1" x14ac:dyDescent="0.2">
      <c r="L78" s="32"/>
      <c r="M78" s="32"/>
      <c r="N78" s="32"/>
      <c r="T78" s="32"/>
      <c r="U78" s="32"/>
      <c r="V78" s="32"/>
      <c r="W78" s="223"/>
    </row>
    <row r="79" spans="12:23" ht="12.75" hidden="1" customHeight="1" x14ac:dyDescent="0.2">
      <c r="L79" s="32"/>
      <c r="M79" s="32"/>
      <c r="N79" s="32"/>
      <c r="T79" s="32"/>
      <c r="U79" s="32"/>
      <c r="V79" s="32"/>
      <c r="W79" s="223"/>
    </row>
    <row r="80" spans="12:23" ht="12.75" hidden="1" customHeight="1" x14ac:dyDescent="0.2">
      <c r="L80" s="32"/>
      <c r="M80" s="32"/>
      <c r="N80" s="32"/>
      <c r="T80" s="32"/>
      <c r="U80" s="32"/>
      <c r="V80" s="32"/>
      <c r="W80" s="223"/>
    </row>
    <row r="81" spans="12:23" ht="12.75" hidden="1" customHeight="1" x14ac:dyDescent="0.2">
      <c r="L81" s="32"/>
      <c r="M81" s="32"/>
      <c r="N81" s="32"/>
      <c r="T81" s="32"/>
      <c r="U81" s="32"/>
      <c r="V81" s="32"/>
      <c r="W81" s="223"/>
    </row>
    <row r="82" spans="12:23" ht="12.75" hidden="1" customHeight="1" x14ac:dyDescent="0.2">
      <c r="L82" s="32"/>
      <c r="M82" s="32"/>
      <c r="N82" s="32"/>
      <c r="T82" s="32"/>
      <c r="U82" s="32"/>
      <c r="V82" s="32"/>
      <c r="W82" s="223"/>
    </row>
    <row r="83" spans="12:23" ht="12.75" hidden="1" customHeight="1" x14ac:dyDescent="0.2">
      <c r="L83" s="32"/>
      <c r="M83" s="32"/>
      <c r="N83" s="32"/>
      <c r="T83" s="32"/>
      <c r="U83" s="32"/>
      <c r="V83" s="32"/>
      <c r="W83" s="223"/>
    </row>
    <row r="84" spans="12:23" ht="12.75" hidden="1" customHeight="1" x14ac:dyDescent="0.2">
      <c r="L84" s="32"/>
      <c r="M84" s="32"/>
      <c r="N84" s="32"/>
      <c r="T84" s="32"/>
      <c r="U84" s="32"/>
      <c r="V84" s="32"/>
      <c r="W84" s="223"/>
    </row>
    <row r="85" spans="12:23" ht="12.75" hidden="1" customHeight="1" x14ac:dyDescent="0.2">
      <c r="L85" s="32"/>
      <c r="M85" s="32"/>
      <c r="N85" s="32"/>
      <c r="T85" s="32"/>
      <c r="U85" s="32"/>
      <c r="V85" s="32"/>
      <c r="W85" s="223"/>
    </row>
    <row r="86" spans="12:23" ht="12.75" hidden="1" customHeight="1" x14ac:dyDescent="0.2">
      <c r="L86" s="32"/>
      <c r="M86" s="32"/>
      <c r="N86" s="32"/>
      <c r="T86" s="32"/>
      <c r="U86" s="32"/>
      <c r="V86" s="32"/>
      <c r="W86" s="223"/>
    </row>
    <row r="87" spans="12:23" ht="12.75" hidden="1" customHeight="1" x14ac:dyDescent="0.2">
      <c r="L87" s="32"/>
      <c r="M87" s="32"/>
      <c r="N87" s="32"/>
      <c r="T87" s="32"/>
      <c r="U87" s="32"/>
      <c r="V87" s="32"/>
      <c r="W87" s="223"/>
    </row>
    <row r="88" spans="12:23" ht="12.75" hidden="1" customHeight="1" x14ac:dyDescent="0.2">
      <c r="L88" s="32"/>
      <c r="M88" s="32"/>
      <c r="N88" s="32"/>
      <c r="T88" s="32"/>
      <c r="U88" s="32"/>
      <c r="V88" s="32"/>
      <c r="W88" s="223"/>
    </row>
    <row r="89" spans="12:23" ht="12.75" hidden="1" customHeight="1" x14ac:dyDescent="0.2">
      <c r="L89" s="32"/>
      <c r="M89" s="32"/>
      <c r="N89" s="32"/>
      <c r="T89" s="32"/>
      <c r="U89" s="32"/>
      <c r="V89" s="32"/>
      <c r="W89" s="223"/>
    </row>
    <row r="90" spans="12:23" ht="12.75" hidden="1" customHeight="1" x14ac:dyDescent="0.2">
      <c r="L90" s="32"/>
      <c r="M90" s="32"/>
      <c r="N90" s="32"/>
      <c r="T90" s="32"/>
      <c r="U90" s="32"/>
      <c r="V90" s="32"/>
      <c r="W90" s="223"/>
    </row>
    <row r="91" spans="12:23" ht="12.75" hidden="1" customHeight="1" x14ac:dyDescent="0.2">
      <c r="L91" s="32"/>
      <c r="M91" s="32"/>
      <c r="N91" s="32"/>
      <c r="T91" s="32"/>
      <c r="U91" s="32"/>
      <c r="V91" s="32"/>
      <c r="W91" s="223"/>
    </row>
    <row r="92" spans="12:23" ht="12.75" hidden="1" customHeight="1" x14ac:dyDescent="0.2">
      <c r="L92" s="32"/>
      <c r="M92" s="32"/>
      <c r="N92" s="32"/>
      <c r="T92" s="32"/>
      <c r="U92" s="32"/>
      <c r="V92" s="32"/>
      <c r="W92" s="223"/>
    </row>
    <row r="93" spans="12:23" ht="12.75" hidden="1" customHeight="1" x14ac:dyDescent="0.2">
      <c r="L93" s="32"/>
      <c r="M93" s="32"/>
      <c r="N93" s="32"/>
      <c r="T93" s="32"/>
      <c r="U93" s="32"/>
      <c r="V93" s="32"/>
      <c r="W93" s="223"/>
    </row>
    <row r="94" spans="12:23" ht="12.75" hidden="1" customHeight="1" x14ac:dyDescent="0.2">
      <c r="L94" s="32"/>
      <c r="M94" s="32"/>
      <c r="N94" s="32"/>
      <c r="T94" s="32"/>
      <c r="U94" s="32"/>
      <c r="V94" s="32"/>
      <c r="W94" s="223"/>
    </row>
    <row r="95" spans="12:23" ht="12.75" hidden="1" customHeight="1" x14ac:dyDescent="0.2">
      <c r="L95" s="32"/>
      <c r="M95" s="32"/>
      <c r="N95" s="32"/>
      <c r="T95" s="32"/>
      <c r="U95" s="32"/>
      <c r="V95" s="32"/>
      <c r="W95" s="223"/>
    </row>
    <row r="96" spans="12:23" ht="12.75" hidden="1" customHeight="1" x14ac:dyDescent="0.2">
      <c r="L96" s="32"/>
      <c r="M96" s="32"/>
      <c r="N96" s="32"/>
      <c r="T96" s="32"/>
      <c r="U96" s="32"/>
      <c r="V96" s="32"/>
      <c r="W96" s="223"/>
    </row>
    <row r="97" spans="12:23" ht="12.75" hidden="1" customHeight="1" x14ac:dyDescent="0.2">
      <c r="L97" s="32"/>
      <c r="M97" s="32"/>
      <c r="N97" s="32"/>
      <c r="T97" s="32"/>
      <c r="U97" s="32"/>
      <c r="V97" s="32"/>
      <c r="W97" s="223"/>
    </row>
    <row r="98" spans="12:23" ht="12.75" hidden="1" customHeight="1" x14ac:dyDescent="0.2">
      <c r="L98" s="32"/>
      <c r="M98" s="32"/>
      <c r="N98" s="32"/>
      <c r="T98" s="32"/>
      <c r="U98" s="32"/>
      <c r="V98" s="32"/>
      <c r="W98" s="223"/>
    </row>
    <row r="99" spans="12:23" ht="12.75" hidden="1" customHeight="1" x14ac:dyDescent="0.2">
      <c r="L99" s="32"/>
      <c r="M99" s="32"/>
      <c r="N99" s="32"/>
      <c r="T99" s="32"/>
      <c r="U99" s="32"/>
      <c r="V99" s="32"/>
      <c r="W99" s="223"/>
    </row>
    <row r="100" spans="12:23" ht="12.75" hidden="1" customHeight="1" x14ac:dyDescent="0.2">
      <c r="L100" s="32"/>
      <c r="M100" s="32"/>
      <c r="N100" s="32"/>
      <c r="T100" s="32"/>
      <c r="U100" s="32"/>
      <c r="V100" s="32"/>
      <c r="W100" s="223"/>
    </row>
    <row r="101" spans="12:23" ht="12.75" hidden="1" customHeight="1" x14ac:dyDescent="0.2">
      <c r="L101" s="32"/>
      <c r="M101" s="32"/>
      <c r="N101" s="32"/>
      <c r="T101" s="32"/>
      <c r="U101" s="32"/>
      <c r="V101" s="32"/>
      <c r="W101" s="223"/>
    </row>
    <row r="102" spans="12:23" ht="12.75" hidden="1" customHeight="1" x14ac:dyDescent="0.2">
      <c r="L102" s="32"/>
      <c r="M102" s="32"/>
      <c r="N102" s="32"/>
      <c r="T102" s="32"/>
      <c r="U102" s="32"/>
      <c r="V102" s="32"/>
      <c r="W102" s="223"/>
    </row>
    <row r="103" spans="12:23" ht="12.75" hidden="1" customHeight="1" x14ac:dyDescent="0.2">
      <c r="L103" s="32"/>
      <c r="M103" s="32"/>
      <c r="N103" s="32"/>
      <c r="T103" s="32"/>
      <c r="U103" s="32"/>
      <c r="V103" s="32"/>
      <c r="W103" s="223"/>
    </row>
    <row r="104" spans="12:23" ht="12.75" hidden="1" customHeight="1" x14ac:dyDescent="0.2">
      <c r="L104" s="32"/>
      <c r="M104" s="32"/>
      <c r="N104" s="32"/>
      <c r="T104" s="32"/>
      <c r="U104" s="32"/>
      <c r="V104" s="32"/>
      <c r="W104" s="223"/>
    </row>
    <row r="105" spans="12:23" ht="12.75" hidden="1" customHeight="1" x14ac:dyDescent="0.2">
      <c r="L105" s="32"/>
      <c r="M105" s="32"/>
      <c r="N105" s="32"/>
      <c r="T105" s="32"/>
      <c r="U105" s="32"/>
      <c r="V105" s="32"/>
      <c r="W105" s="223"/>
    </row>
    <row r="106" spans="12:23" ht="12.75" hidden="1" customHeight="1" x14ac:dyDescent="0.2">
      <c r="L106" s="32"/>
      <c r="M106" s="32"/>
      <c r="N106" s="32"/>
      <c r="T106" s="32"/>
      <c r="U106" s="32"/>
      <c r="V106" s="32"/>
      <c r="W106" s="223"/>
    </row>
    <row r="107" spans="12:23" ht="12.75" hidden="1" customHeight="1" x14ac:dyDescent="0.2">
      <c r="L107" s="32"/>
      <c r="M107" s="32"/>
      <c r="N107" s="32"/>
      <c r="T107" s="32"/>
      <c r="U107" s="32"/>
      <c r="V107" s="32"/>
      <c r="W107" s="223"/>
    </row>
    <row r="108" spans="12:23" ht="12.75" hidden="1" customHeight="1" x14ac:dyDescent="0.2">
      <c r="L108" s="32"/>
      <c r="M108" s="32"/>
      <c r="N108" s="32"/>
      <c r="T108" s="32"/>
      <c r="U108" s="32"/>
      <c r="V108" s="32"/>
      <c r="W108" s="223"/>
    </row>
    <row r="109" spans="12:23" ht="12.75" hidden="1" customHeight="1" x14ac:dyDescent="0.2">
      <c r="L109" s="32"/>
      <c r="M109" s="32"/>
      <c r="N109" s="32"/>
      <c r="T109" s="32"/>
      <c r="U109" s="32"/>
      <c r="V109" s="32"/>
      <c r="W109" s="223"/>
    </row>
    <row r="110" spans="12:23" ht="12.75" hidden="1" customHeight="1" x14ac:dyDescent="0.2">
      <c r="L110" s="32"/>
      <c r="M110" s="32"/>
      <c r="N110" s="32"/>
      <c r="T110" s="32"/>
      <c r="U110" s="32"/>
      <c r="V110" s="32"/>
      <c r="W110" s="223"/>
    </row>
    <row r="111" spans="12:23" ht="12.75" hidden="1" customHeight="1" x14ac:dyDescent="0.2">
      <c r="L111" s="32"/>
      <c r="M111" s="32"/>
      <c r="N111" s="32"/>
      <c r="T111" s="32"/>
      <c r="U111" s="32"/>
      <c r="V111" s="32"/>
      <c r="W111" s="223"/>
    </row>
    <row r="112" spans="12:23" ht="12.75" hidden="1" customHeight="1" x14ac:dyDescent="0.2">
      <c r="L112" s="32"/>
      <c r="M112" s="32"/>
      <c r="N112" s="32"/>
      <c r="T112" s="32"/>
      <c r="U112" s="32"/>
      <c r="V112" s="32"/>
      <c r="W112" s="223"/>
    </row>
    <row r="113" spans="12:23" ht="12.75" hidden="1" customHeight="1" x14ac:dyDescent="0.2">
      <c r="L113" s="32"/>
      <c r="M113" s="32"/>
      <c r="N113" s="32"/>
      <c r="T113" s="32"/>
      <c r="U113" s="32"/>
      <c r="V113" s="32"/>
      <c r="W113" s="223"/>
    </row>
    <row r="114" spans="12:23" ht="12.75" hidden="1" customHeight="1" x14ac:dyDescent="0.2">
      <c r="L114" s="32"/>
      <c r="M114" s="32"/>
      <c r="N114" s="32"/>
      <c r="T114" s="32"/>
      <c r="U114" s="32"/>
      <c r="V114" s="32"/>
      <c r="W114" s="223"/>
    </row>
    <row r="115" spans="12:23" ht="12.75" hidden="1" customHeight="1" x14ac:dyDescent="0.2">
      <c r="L115" s="32"/>
      <c r="M115" s="32"/>
      <c r="N115" s="32"/>
      <c r="T115" s="32"/>
      <c r="U115" s="32"/>
      <c r="V115" s="32"/>
      <c r="W115" s="223"/>
    </row>
    <row r="116" spans="12:23" ht="12.75" hidden="1" customHeight="1" x14ac:dyDescent="0.2">
      <c r="L116" s="32"/>
      <c r="M116" s="32"/>
      <c r="N116" s="32"/>
      <c r="T116" s="32"/>
      <c r="U116" s="32"/>
      <c r="V116" s="32"/>
      <c r="W116" s="223"/>
    </row>
    <row r="117" spans="12:23" ht="12.75" hidden="1" customHeight="1" x14ac:dyDescent="0.2">
      <c r="L117" s="32"/>
      <c r="M117" s="32"/>
      <c r="N117" s="32"/>
      <c r="T117" s="32"/>
      <c r="U117" s="32"/>
      <c r="V117" s="32"/>
      <c r="W117" s="223"/>
    </row>
    <row r="118" spans="12:23" ht="12.75" hidden="1" customHeight="1" x14ac:dyDescent="0.2">
      <c r="L118" s="32"/>
      <c r="M118" s="32"/>
      <c r="N118" s="32"/>
      <c r="T118" s="32"/>
      <c r="U118" s="32"/>
      <c r="V118" s="32"/>
      <c r="W118" s="223"/>
    </row>
    <row r="119" spans="12:23" ht="12.75" hidden="1" customHeight="1" x14ac:dyDescent="0.2">
      <c r="L119" s="32"/>
      <c r="M119" s="32"/>
      <c r="N119" s="32"/>
      <c r="T119" s="32"/>
      <c r="U119" s="32"/>
      <c r="V119" s="32"/>
      <c r="W119" s="223"/>
    </row>
    <row r="120" spans="12:23" ht="12.75" hidden="1" customHeight="1" x14ac:dyDescent="0.2">
      <c r="L120" s="32"/>
      <c r="M120" s="32"/>
      <c r="N120" s="32"/>
      <c r="T120" s="32"/>
      <c r="U120" s="32"/>
      <c r="V120" s="32"/>
      <c r="W120" s="223"/>
    </row>
    <row r="121" spans="12:23" ht="12.75" hidden="1" customHeight="1" x14ac:dyDescent="0.2">
      <c r="L121" s="32"/>
      <c r="M121" s="32"/>
      <c r="N121" s="32"/>
      <c r="T121" s="32"/>
      <c r="U121" s="32"/>
      <c r="V121" s="32"/>
      <c r="W121" s="223"/>
    </row>
    <row r="122" spans="12:23" ht="12.75" hidden="1" customHeight="1" x14ac:dyDescent="0.2">
      <c r="L122" s="32"/>
      <c r="M122" s="32"/>
      <c r="N122" s="32"/>
      <c r="T122" s="32"/>
      <c r="U122" s="32"/>
      <c r="V122" s="32"/>
      <c r="W122" s="223"/>
    </row>
    <row r="123" spans="12:23" ht="12.75" hidden="1" customHeight="1" x14ac:dyDescent="0.2">
      <c r="L123" s="32"/>
      <c r="M123" s="32"/>
      <c r="N123" s="32"/>
      <c r="T123" s="32"/>
      <c r="U123" s="32"/>
      <c r="V123" s="32"/>
      <c r="W123" s="223"/>
    </row>
    <row r="124" spans="12:23" ht="12.75" hidden="1" customHeight="1" x14ac:dyDescent="0.2">
      <c r="L124" s="32"/>
      <c r="M124" s="32"/>
      <c r="N124" s="32"/>
      <c r="T124" s="32"/>
      <c r="U124" s="32"/>
      <c r="V124" s="32"/>
      <c r="W124" s="223"/>
    </row>
    <row r="125" spans="12:23" ht="12.75" hidden="1" customHeight="1" x14ac:dyDescent="0.2">
      <c r="L125" s="32"/>
      <c r="M125" s="32"/>
      <c r="N125" s="32"/>
      <c r="T125" s="32"/>
      <c r="U125" s="32"/>
      <c r="V125" s="32"/>
      <c r="W125" s="223"/>
    </row>
    <row r="126" spans="12:23" ht="12.75" hidden="1" customHeight="1" x14ac:dyDescent="0.2">
      <c r="L126" s="32"/>
      <c r="M126" s="32"/>
      <c r="N126" s="32"/>
      <c r="T126" s="32"/>
      <c r="U126" s="32"/>
      <c r="V126" s="32"/>
      <c r="W126" s="223"/>
    </row>
    <row r="127" spans="12:23" ht="12.75" hidden="1" customHeight="1" x14ac:dyDescent="0.2">
      <c r="L127" s="32"/>
      <c r="M127" s="32"/>
      <c r="N127" s="32"/>
      <c r="T127" s="32"/>
      <c r="U127" s="32"/>
      <c r="V127" s="32"/>
      <c r="W127" s="223"/>
    </row>
    <row r="128" spans="12:23" ht="12.75" hidden="1" customHeight="1" x14ac:dyDescent="0.2">
      <c r="L128" s="32"/>
      <c r="M128" s="32"/>
      <c r="N128" s="32"/>
      <c r="T128" s="32"/>
      <c r="U128" s="32"/>
      <c r="V128" s="32"/>
      <c r="W128" s="223"/>
    </row>
    <row r="129" spans="12:23" ht="12.75" hidden="1" customHeight="1" x14ac:dyDescent="0.2">
      <c r="L129" s="32"/>
      <c r="M129" s="32"/>
      <c r="N129" s="32"/>
      <c r="T129" s="32"/>
      <c r="U129" s="32"/>
      <c r="V129" s="32"/>
      <c r="W129" s="223"/>
    </row>
    <row r="130" spans="12:23" ht="12.75" hidden="1" customHeight="1" x14ac:dyDescent="0.2">
      <c r="L130" s="32"/>
      <c r="M130" s="32"/>
      <c r="N130" s="32"/>
      <c r="T130" s="32"/>
      <c r="U130" s="32"/>
      <c r="V130" s="32"/>
      <c r="W130" s="223"/>
    </row>
    <row r="131" spans="12:23" ht="12.75" hidden="1" customHeight="1" x14ac:dyDescent="0.2">
      <c r="L131" s="32"/>
      <c r="M131" s="32"/>
      <c r="N131" s="32"/>
      <c r="T131" s="32"/>
      <c r="U131" s="32"/>
      <c r="V131" s="32"/>
      <c r="W131" s="223"/>
    </row>
    <row r="132" spans="12:23" ht="12.75" hidden="1" customHeight="1" x14ac:dyDescent="0.2">
      <c r="L132" s="32"/>
      <c r="M132" s="32"/>
      <c r="N132" s="32"/>
      <c r="T132" s="32"/>
      <c r="U132" s="32"/>
      <c r="V132" s="32"/>
      <c r="W132" s="223"/>
    </row>
    <row r="133" spans="12:23" ht="12.75" hidden="1" customHeight="1" x14ac:dyDescent="0.2">
      <c r="L133" s="32"/>
      <c r="M133" s="32"/>
      <c r="N133" s="32"/>
      <c r="T133" s="32"/>
      <c r="U133" s="32"/>
      <c r="V133" s="32"/>
      <c r="W133" s="223"/>
    </row>
    <row r="134" spans="12:23" ht="12.75" hidden="1" customHeight="1" x14ac:dyDescent="0.2">
      <c r="L134" s="32"/>
      <c r="M134" s="32"/>
      <c r="N134" s="32"/>
      <c r="T134" s="32"/>
      <c r="U134" s="32"/>
      <c r="V134" s="32"/>
      <c r="W134" s="223"/>
    </row>
    <row r="135" spans="12:23" ht="12.75" hidden="1" customHeight="1" x14ac:dyDescent="0.2">
      <c r="L135" s="32"/>
      <c r="M135" s="32"/>
      <c r="N135" s="32"/>
      <c r="T135" s="32"/>
      <c r="U135" s="32"/>
      <c r="V135" s="32"/>
      <c r="W135" s="223"/>
    </row>
    <row r="136" spans="12:23" ht="12.75" hidden="1" customHeight="1" x14ac:dyDescent="0.2">
      <c r="L136" s="32"/>
      <c r="M136" s="32"/>
      <c r="N136" s="32"/>
      <c r="T136" s="32"/>
      <c r="U136" s="32"/>
      <c r="V136" s="32"/>
      <c r="W136" s="616"/>
    </row>
    <row r="137" spans="12:23" ht="12.75" hidden="1" customHeight="1" x14ac:dyDescent="0.2">
      <c r="L137" s="32"/>
      <c r="M137" s="32"/>
      <c r="N137" s="32"/>
      <c r="T137" s="32"/>
      <c r="U137" s="32"/>
      <c r="V137" s="32"/>
      <c r="W137" s="616"/>
    </row>
    <row r="138" spans="12:23" ht="12.75" hidden="1" customHeight="1" x14ac:dyDescent="0.2">
      <c r="L138" s="32"/>
      <c r="M138" s="32"/>
      <c r="N138" s="32"/>
      <c r="T138" s="32"/>
      <c r="U138" s="32"/>
      <c r="V138" s="32"/>
      <c r="W138" s="616"/>
    </row>
    <row r="139" spans="12:23" ht="12.75" hidden="1" customHeight="1" x14ac:dyDescent="0.2">
      <c r="L139" s="32"/>
      <c r="M139" s="32"/>
      <c r="N139" s="32"/>
      <c r="T139" s="32"/>
      <c r="U139" s="32"/>
      <c r="V139" s="32"/>
      <c r="W139" s="616"/>
    </row>
    <row r="140" spans="12:23" ht="12.75" hidden="1" customHeight="1" x14ac:dyDescent="0.2">
      <c r="L140" s="32"/>
      <c r="M140" s="32"/>
      <c r="N140" s="32"/>
      <c r="T140" s="32"/>
      <c r="U140" s="32"/>
      <c r="V140" s="32"/>
      <c r="W140" s="616"/>
    </row>
    <row r="141" spans="12:23" ht="12.75" hidden="1" customHeight="1" x14ac:dyDescent="0.2">
      <c r="L141" s="32"/>
      <c r="M141" s="32"/>
      <c r="N141" s="32"/>
      <c r="T141" s="32"/>
      <c r="U141" s="32"/>
      <c r="V141" s="32"/>
      <c r="W141" s="616"/>
    </row>
    <row r="142" spans="12:23" ht="12.75" hidden="1" customHeight="1" x14ac:dyDescent="0.2">
      <c r="L142" s="32"/>
      <c r="M142" s="32"/>
      <c r="N142" s="32"/>
      <c r="T142" s="32"/>
      <c r="U142" s="32"/>
      <c r="V142" s="32"/>
      <c r="W142" s="616"/>
    </row>
    <row r="143" spans="12:23" ht="12.75" hidden="1" customHeight="1" x14ac:dyDescent="0.2">
      <c r="L143" s="32"/>
      <c r="M143" s="32"/>
      <c r="N143" s="32"/>
      <c r="T143" s="32"/>
      <c r="U143" s="32"/>
      <c r="V143" s="32"/>
      <c r="W143" s="616"/>
    </row>
    <row r="144" spans="12:23" ht="12.75" hidden="1" customHeight="1" x14ac:dyDescent="0.2">
      <c r="L144" s="32"/>
      <c r="M144" s="32"/>
      <c r="N144" s="32"/>
      <c r="T144" s="32"/>
      <c r="U144" s="32"/>
      <c r="V144" s="32"/>
      <c r="W144" s="616"/>
    </row>
    <row r="145" spans="12:23" ht="12.75" hidden="1" customHeight="1" x14ac:dyDescent="0.2">
      <c r="L145" s="32"/>
      <c r="M145" s="32"/>
      <c r="N145" s="32"/>
      <c r="T145" s="32"/>
      <c r="U145" s="32"/>
      <c r="V145" s="32"/>
      <c r="W145" s="616"/>
    </row>
    <row r="146" spans="12:23" ht="12.75" hidden="1" customHeight="1" x14ac:dyDescent="0.2">
      <c r="L146" s="32"/>
      <c r="M146" s="32"/>
      <c r="N146" s="32"/>
      <c r="T146" s="32"/>
      <c r="U146" s="32"/>
      <c r="V146" s="32"/>
      <c r="W146" s="616"/>
    </row>
    <row r="147" spans="12:23" ht="12.75" hidden="1" customHeight="1" x14ac:dyDescent="0.2"/>
    <row r="148" spans="12:23" ht="12.75" hidden="1" customHeight="1" x14ac:dyDescent="0.2"/>
    <row r="149" spans="12:23" hidden="1" x14ac:dyDescent="0.2"/>
    <row r="150" spans="12:23" hidden="1" x14ac:dyDescent="0.2"/>
    <row r="151" spans="12:23" hidden="1" x14ac:dyDescent="0.2"/>
    <row r="152" spans="12:23" hidden="1" x14ac:dyDescent="0.2"/>
    <row r="153" spans="12:23" hidden="1" x14ac:dyDescent="0.2"/>
    <row r="154" spans="12:23" hidden="1" x14ac:dyDescent="0.2"/>
    <row r="155" spans="12:23" hidden="1" x14ac:dyDescent="0.2"/>
    <row r="156" spans="12:23" hidden="1" x14ac:dyDescent="0.2"/>
    <row r="157" spans="12:23" hidden="1" x14ac:dyDescent="0.2"/>
    <row r="158" spans="12:23" hidden="1" x14ac:dyDescent="0.2"/>
    <row r="159" spans="12:23" hidden="1" x14ac:dyDescent="0.2"/>
    <row r="160" spans="12:23" hidden="1" x14ac:dyDescent="0.2"/>
    <row r="161" spans="12:23" hidden="1" x14ac:dyDescent="0.2"/>
    <row r="162" spans="12:23" hidden="1" x14ac:dyDescent="0.2"/>
    <row r="163" spans="12:23" hidden="1" x14ac:dyDescent="0.2">
      <c r="L163" s="32"/>
      <c r="M163" s="32"/>
      <c r="N163" s="32"/>
      <c r="T163" s="32"/>
      <c r="U163" s="32"/>
      <c r="V163" s="32"/>
      <c r="W163" s="32"/>
    </row>
    <row r="164" spans="12:23" hidden="1" x14ac:dyDescent="0.2">
      <c r="L164" s="32"/>
      <c r="M164" s="32"/>
      <c r="N164" s="32"/>
      <c r="T164" s="32"/>
      <c r="U164" s="32"/>
      <c r="V164" s="32"/>
      <c r="W164" s="32"/>
    </row>
    <row r="165" spans="12:23" hidden="1" x14ac:dyDescent="0.2">
      <c r="L165" s="32"/>
      <c r="M165" s="32"/>
      <c r="N165" s="32"/>
      <c r="T165" s="32"/>
      <c r="U165" s="32"/>
      <c r="V165" s="32"/>
      <c r="W165" s="32"/>
    </row>
    <row r="166" spans="12:23" hidden="1" x14ac:dyDescent="0.2">
      <c r="L166" s="32"/>
      <c r="M166" s="32"/>
      <c r="N166" s="32"/>
      <c r="T166" s="32"/>
      <c r="U166" s="32"/>
      <c r="V166" s="32"/>
      <c r="W166" s="32"/>
    </row>
    <row r="167" spans="12:23" hidden="1" x14ac:dyDescent="0.2">
      <c r="L167" s="32"/>
      <c r="M167" s="32"/>
      <c r="N167" s="32"/>
      <c r="T167" s="32"/>
      <c r="U167" s="32"/>
      <c r="V167" s="32"/>
      <c r="W167" s="32"/>
    </row>
    <row r="168" spans="12:23" hidden="1" x14ac:dyDescent="0.2">
      <c r="L168" s="32"/>
      <c r="M168" s="32"/>
      <c r="N168" s="32"/>
      <c r="T168" s="32"/>
      <c r="U168" s="32"/>
      <c r="V168" s="32"/>
      <c r="W168" s="32"/>
    </row>
    <row r="169" spans="12:23" hidden="1" x14ac:dyDescent="0.2">
      <c r="L169" s="32"/>
      <c r="M169" s="32"/>
      <c r="N169" s="32"/>
      <c r="T169" s="32"/>
      <c r="U169" s="32"/>
      <c r="V169" s="32"/>
      <c r="W169" s="32"/>
    </row>
    <row r="170" spans="12:23" hidden="1" x14ac:dyDescent="0.2">
      <c r="L170" s="32"/>
      <c r="M170" s="32"/>
      <c r="N170" s="32"/>
      <c r="T170" s="32"/>
      <c r="U170" s="32"/>
      <c r="V170" s="32"/>
      <c r="W170" s="32"/>
    </row>
    <row r="171" spans="12:23" hidden="1" x14ac:dyDescent="0.2">
      <c r="L171" s="32"/>
      <c r="M171" s="32"/>
      <c r="N171" s="32"/>
      <c r="T171" s="32"/>
      <c r="U171" s="32"/>
      <c r="V171" s="32"/>
      <c r="W171" s="32"/>
    </row>
    <row r="172" spans="12:23" hidden="1" x14ac:dyDescent="0.2">
      <c r="L172" s="32"/>
      <c r="M172" s="32"/>
      <c r="N172" s="32"/>
      <c r="T172" s="32"/>
      <c r="U172" s="32"/>
      <c r="V172" s="32"/>
      <c r="W172" s="32"/>
    </row>
    <row r="173" spans="12:23" hidden="1" x14ac:dyDescent="0.2">
      <c r="L173" s="32"/>
      <c r="M173" s="32"/>
      <c r="N173" s="32"/>
      <c r="T173" s="32"/>
      <c r="U173" s="32"/>
      <c r="V173" s="32"/>
      <c r="W173" s="32"/>
    </row>
    <row r="174" spans="12:23" hidden="1" x14ac:dyDescent="0.2">
      <c r="L174" s="32"/>
      <c r="M174" s="32"/>
      <c r="N174" s="32"/>
      <c r="T174" s="32"/>
      <c r="U174" s="32"/>
      <c r="V174" s="32"/>
      <c r="W174" s="32"/>
    </row>
    <row r="175" spans="12:23" hidden="1" x14ac:dyDescent="0.2">
      <c r="L175" s="32"/>
      <c r="M175" s="32"/>
      <c r="N175" s="32"/>
      <c r="T175" s="32"/>
      <c r="U175" s="32"/>
      <c r="V175" s="32"/>
      <c r="W175" s="32"/>
    </row>
    <row r="176" spans="1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5" hidden="1" x14ac:dyDescent="0.2"/>
    <row r="290" spans="1:15" hidden="1" x14ac:dyDescent="0.2"/>
    <row r="291" spans="1:15" hidden="1" x14ac:dyDescent="0.2"/>
    <row r="292" spans="1:15" hidden="1" x14ac:dyDescent="0.2"/>
    <row r="293" spans="1:15" hidden="1" x14ac:dyDescent="0.2"/>
    <row r="294" spans="1:15" hidden="1" x14ac:dyDescent="0.2"/>
    <row r="295" spans="1:15" hidden="1" x14ac:dyDescent="0.2"/>
    <row r="296" spans="1:15" hidden="1" x14ac:dyDescent="0.2"/>
    <row r="297" spans="1:15" hidden="1" x14ac:dyDescent="0.2"/>
    <row r="299" spans="1:15" x14ac:dyDescent="0.2">
      <c r="A299" s="277"/>
      <c r="B299" s="277"/>
      <c r="C299" s="1364" t="s">
        <v>190</v>
      </c>
      <c r="D299" s="617"/>
      <c r="E299" s="617"/>
    </row>
    <row r="300" spans="1:15" x14ac:dyDescent="0.2">
      <c r="A300" s="279">
        <v>1</v>
      </c>
      <c r="B300" s="1334" t="str">
        <f>IFERROR(INDEX(B$1:B$100,MATCH(A300,A$1:A$100,0)),"")</f>
        <v>Boriss Klubov, Urmas Jõeäär</v>
      </c>
      <c r="C300" s="55">
        <f>MAX(A300:A400)</f>
        <v>11</v>
      </c>
      <c r="D300" s="55">
        <f>MAX(A300:A396)</f>
        <v>11</v>
      </c>
      <c r="E300" s="55"/>
    </row>
    <row r="301" spans="1:15" x14ac:dyDescent="0.2">
      <c r="A301" s="279">
        <v>2</v>
      </c>
      <c r="B301" s="1334" t="str">
        <f t="shared" ref="B301:B310" si="10">IFERROR(INDEX(B$1:B$100,MATCH(A301,A$1:A$100,0)),"")</f>
        <v>Elmo Lageda, Johannes Neiland</v>
      </c>
      <c r="C301" s="34">
        <f t="shared" ref="C301:C310" si="11">C300-1</f>
        <v>10</v>
      </c>
      <c r="D301" s="34">
        <f t="shared" ref="D301:D310" si="12">D300-1</f>
        <v>10</v>
      </c>
      <c r="E301" s="34"/>
      <c r="O301" s="188"/>
    </row>
    <row r="302" spans="1:15" x14ac:dyDescent="0.2">
      <c r="A302" s="279">
        <v>3</v>
      </c>
      <c r="B302" s="1334" t="str">
        <f t="shared" si="10"/>
        <v>Mait Metsla, Matti Vinni</v>
      </c>
      <c r="C302" s="34">
        <f t="shared" si="11"/>
        <v>9</v>
      </c>
      <c r="D302" s="34">
        <f t="shared" si="12"/>
        <v>9</v>
      </c>
      <c r="E302" s="34"/>
      <c r="O302" s="188"/>
    </row>
    <row r="303" spans="1:15" x14ac:dyDescent="0.2">
      <c r="A303" s="279">
        <v>4</v>
      </c>
      <c r="B303" s="1334" t="str">
        <f t="shared" si="10"/>
        <v>Tõnu Piik, Ülo Piik</v>
      </c>
      <c r="C303" s="34">
        <f t="shared" si="11"/>
        <v>8</v>
      </c>
      <c r="D303" s="34">
        <f t="shared" si="12"/>
        <v>8</v>
      </c>
      <c r="E303" s="34"/>
      <c r="O303" s="188"/>
    </row>
    <row r="304" spans="1:15" x14ac:dyDescent="0.2">
      <c r="A304" s="279">
        <v>5</v>
      </c>
      <c r="B304" s="1334" t="str">
        <f t="shared" si="10"/>
        <v>Argo Sepp, Jaan Sepp</v>
      </c>
      <c r="C304" s="34">
        <f t="shared" si="11"/>
        <v>7</v>
      </c>
      <c r="D304" s="34">
        <f t="shared" si="12"/>
        <v>7</v>
      </c>
      <c r="E304" s="34"/>
      <c r="O304" s="188"/>
    </row>
    <row r="305" spans="1:15" x14ac:dyDescent="0.2">
      <c r="A305" s="279">
        <v>6</v>
      </c>
      <c r="B305" s="1334" t="str">
        <f t="shared" si="10"/>
        <v>Meelis Luud, Urmas Randlaine</v>
      </c>
      <c r="C305" s="34">
        <f t="shared" si="11"/>
        <v>6</v>
      </c>
      <c r="D305" s="34">
        <f t="shared" si="12"/>
        <v>6</v>
      </c>
      <c r="E305" s="34"/>
    </row>
    <row r="306" spans="1:15" x14ac:dyDescent="0.2">
      <c r="A306" s="279">
        <v>7</v>
      </c>
      <c r="B306" s="1334" t="str">
        <f t="shared" si="10"/>
        <v>Henri Mitt, Melika Lehtla</v>
      </c>
      <c r="C306" s="34">
        <f t="shared" si="11"/>
        <v>5</v>
      </c>
      <c r="D306" s="34">
        <f t="shared" si="12"/>
        <v>5</v>
      </c>
      <c r="E306" s="34"/>
    </row>
    <row r="307" spans="1:15" x14ac:dyDescent="0.2">
      <c r="A307" s="279">
        <v>8</v>
      </c>
      <c r="B307" s="1334" t="str">
        <f t="shared" si="10"/>
        <v>Andrei Grintšak, Illar Tõnurist</v>
      </c>
      <c r="C307" s="34">
        <f t="shared" si="11"/>
        <v>4</v>
      </c>
      <c r="D307" s="34">
        <f t="shared" si="12"/>
        <v>4</v>
      </c>
      <c r="E307" s="34"/>
      <c r="O307" s="188"/>
    </row>
    <row r="308" spans="1:15" x14ac:dyDescent="0.2">
      <c r="A308" s="279">
        <v>9</v>
      </c>
      <c r="B308" s="1334" t="str">
        <f t="shared" si="10"/>
        <v>Einar Juhkam, Kenneth Muusikus</v>
      </c>
      <c r="C308" s="34">
        <f t="shared" si="11"/>
        <v>3</v>
      </c>
      <c r="D308" s="34">
        <f t="shared" si="12"/>
        <v>3</v>
      </c>
      <c r="E308" s="34"/>
      <c r="O308" s="188"/>
    </row>
    <row r="309" spans="1:15" x14ac:dyDescent="0.2">
      <c r="A309" s="279">
        <v>10</v>
      </c>
      <c r="B309" s="1334" t="str">
        <f t="shared" si="10"/>
        <v>Enn Tokman, Tarmo Bombe</v>
      </c>
      <c r="C309" s="34">
        <f t="shared" si="11"/>
        <v>2</v>
      </c>
      <c r="D309" s="34">
        <f t="shared" si="12"/>
        <v>2</v>
      </c>
      <c r="E309" s="34"/>
      <c r="O309" s="188"/>
    </row>
    <row r="310" spans="1:15" x14ac:dyDescent="0.2">
      <c r="A310" s="279">
        <v>11</v>
      </c>
      <c r="B310" s="1334" t="str">
        <f t="shared" si="10"/>
        <v>Andres Veski, Karla Purgats</v>
      </c>
      <c r="C310" s="34">
        <f t="shared" si="11"/>
        <v>1</v>
      </c>
      <c r="D310" s="34">
        <f t="shared" si="12"/>
        <v>1</v>
      </c>
      <c r="E310" s="34"/>
    </row>
    <row r="313" spans="1:15" x14ac:dyDescent="0.2">
      <c r="O313" s="188"/>
    </row>
    <row r="317" spans="1:15" x14ac:dyDescent="0.2">
      <c r="O317" s="188"/>
    </row>
  </sheetData>
  <sortState ref="A8:Y18">
    <sortCondition ref="A151:A161"/>
  </sortState>
  <conditionalFormatting sqref="A300:A310">
    <cfRule type="duplicateValues" dxfId="292" priority="242"/>
  </conditionalFormatting>
  <conditionalFormatting sqref="AI8:AI18 AO8:AO18 AM8:AM18">
    <cfRule type="expression" dxfId="291" priority="95">
      <formula>AND(AJ8="",COUNTIF(AI8,"*,*")=0)</formula>
    </cfRule>
  </conditionalFormatting>
  <conditionalFormatting sqref="AK8:AK18">
    <cfRule type="expression" dxfId="290" priority="93">
      <formula>AND(AL8="",FIND(",",AK8))</formula>
    </cfRule>
    <cfRule type="expression" dxfId="289" priority="94">
      <formula>AND(AL8="",COUNTIF(AK8,"*,*")=0)</formula>
    </cfRule>
  </conditionalFormatting>
  <conditionalFormatting sqref="B300:B310">
    <cfRule type="expression" dxfId="288" priority="85">
      <formula>A300=3</formula>
    </cfRule>
    <cfRule type="expression" dxfId="287" priority="86">
      <formula>A300=2</formula>
    </cfRule>
    <cfRule type="expression" dxfId="286" priority="87">
      <formula>A300=1</formula>
    </cfRule>
    <cfRule type="containsBlanks" dxfId="285" priority="88">
      <formula>LEN(TRIM(B300))=0</formula>
    </cfRule>
    <cfRule type="duplicateValues" dxfId="284" priority="89"/>
  </conditionalFormatting>
  <conditionalFormatting sqref="A8:A18">
    <cfRule type="duplicateValues" dxfId="283" priority="39"/>
  </conditionalFormatting>
  <conditionalFormatting sqref="C8:C18">
    <cfRule type="expression" dxfId="282" priority="21">
      <formula>IF($C8&gt;$E8,TRUE)</formula>
    </cfRule>
  </conditionalFormatting>
  <conditionalFormatting sqref="E8:E18">
    <cfRule type="expression" dxfId="281" priority="22">
      <formula>IF($C8&lt;$E8,TRUE)</formula>
    </cfRule>
  </conditionalFormatting>
  <conditionalFormatting sqref="K8:K18">
    <cfRule type="expression" dxfId="280" priority="29">
      <formula>IF($K8&gt;$M8,TRUE)</formula>
    </cfRule>
  </conditionalFormatting>
  <conditionalFormatting sqref="M8:M18">
    <cfRule type="expression" dxfId="279" priority="30">
      <formula>IF($K8&lt;$M8,TRUE)</formula>
    </cfRule>
  </conditionalFormatting>
  <conditionalFormatting sqref="O8:O18">
    <cfRule type="expression" dxfId="278" priority="33">
      <formula>IF($O8&gt;$Q8,TRUE)</formula>
    </cfRule>
  </conditionalFormatting>
  <conditionalFormatting sqref="Q8:Q18">
    <cfRule type="expression" dxfId="277" priority="34">
      <formula>IF($O8&lt;$Q8,TRUE)</formula>
    </cfRule>
  </conditionalFormatting>
  <conditionalFormatting sqref="S8:S18">
    <cfRule type="expression" dxfId="276" priority="37">
      <formula>IF($S8&gt;$U8,TRUE)</formula>
    </cfRule>
  </conditionalFormatting>
  <conditionalFormatting sqref="U8:U18">
    <cfRule type="expression" dxfId="275" priority="38">
      <formula>IF($S8&lt;$U8,TRUE)</formula>
    </cfRule>
  </conditionalFormatting>
  <conditionalFormatting sqref="G8:G18">
    <cfRule type="expression" dxfId="274" priority="25">
      <formula>IF($G8&gt;$I8,TRUE)</formula>
    </cfRule>
  </conditionalFormatting>
  <conditionalFormatting sqref="I8:I18">
    <cfRule type="expression" dxfId="273" priority="26">
      <formula>IF($G8&lt;$I8,TRUE)</formula>
    </cfRule>
  </conditionalFormatting>
  <conditionalFormatting sqref="F8:F18">
    <cfRule type="containsText" dxfId="272" priority="7" operator="containsText" text="vaba voor">
      <formula>NOT(ISERROR(SEARCH("vaba voor",F8)))</formula>
    </cfRule>
  </conditionalFormatting>
  <conditionalFormatting sqref="N8:N18">
    <cfRule type="containsText" dxfId="271" priority="5" operator="containsText" text="vaba voor">
      <formula>NOT(ISERROR(SEARCH("vaba voor",N8)))</formula>
    </cfRule>
  </conditionalFormatting>
  <conditionalFormatting sqref="R8:R18">
    <cfRule type="containsText" dxfId="270" priority="8" operator="containsText" text="vaba voor">
      <formula>NOT(ISERROR(SEARCH("vaba voor",R8)))</formula>
    </cfRule>
  </conditionalFormatting>
  <conditionalFormatting sqref="V8:V18">
    <cfRule type="containsText" dxfId="269" priority="4" operator="containsText" text="vaba voor">
      <formula>NOT(ISERROR(SEARCH("vaba voor",V8)))</formula>
    </cfRule>
  </conditionalFormatting>
  <conditionalFormatting sqref="Z8:Z18">
    <cfRule type="containsText" dxfId="268" priority="3" operator="containsText" text="vaba voor">
      <formula>NOT(ISERROR(SEARCH("vaba voor",Z8)))</formula>
    </cfRule>
  </conditionalFormatting>
  <conditionalFormatting sqref="W8:W18">
    <cfRule type="expression" dxfId="267" priority="12">
      <formula>IF($W8&gt;$Y8,TRUE)</formula>
    </cfRule>
  </conditionalFormatting>
  <conditionalFormatting sqref="Y8:Y18">
    <cfRule type="expression" dxfId="266" priority="13">
      <formula>IF($W8&lt;$Y8,TRUE)</formula>
    </cfRule>
  </conditionalFormatting>
  <conditionalFormatting sqref="J8:J18">
    <cfRule type="containsText" dxfId="265" priority="6" operator="containsText" text="vaba voor">
      <formula>NOT(ISERROR(SEARCH("vaba voor",J8)))</formula>
    </cfRule>
  </conditionalFormatting>
  <conditionalFormatting sqref="C8:F18">
    <cfRule type="expression" dxfId="264" priority="17">
      <formula>IF(AND(ISNUMBER($C8),$C8=$E8),TRUE)</formula>
    </cfRule>
    <cfRule type="expression" dxfId="263" priority="19">
      <formula>IF($C8&gt;$E8,TRUE)</formula>
    </cfRule>
    <cfRule type="expression" dxfId="262" priority="20">
      <formula>IF($C8&lt;$E8,TRUE)</formula>
    </cfRule>
  </conditionalFormatting>
  <conditionalFormatting sqref="G8:J18">
    <cfRule type="expression" dxfId="261" priority="18">
      <formula>IF(AND(ISNUMBER($G8),$G8=$I8),TRUE)</formula>
    </cfRule>
    <cfRule type="expression" dxfId="260" priority="23">
      <formula>IF($G8&gt;$I8,TRUE)</formula>
    </cfRule>
    <cfRule type="expression" dxfId="259" priority="24">
      <formula>IF($G8&lt;$I8,TRUE)</formula>
    </cfRule>
  </conditionalFormatting>
  <conditionalFormatting sqref="K8:N18">
    <cfRule type="expression" dxfId="258" priority="16">
      <formula>IF(AND(ISNUMBER($K8),$K8=$M8),TRUE)</formula>
    </cfRule>
    <cfRule type="expression" dxfId="257" priority="27">
      <formula>IF($K8&gt;$M8,TRUE)</formula>
    </cfRule>
    <cfRule type="expression" dxfId="256" priority="28">
      <formula>IF($K8&lt;$M8,TRUE)</formula>
    </cfRule>
  </conditionalFormatting>
  <conditionalFormatting sqref="O8:R18">
    <cfRule type="expression" dxfId="255" priority="15">
      <formula>IF(AND(ISNUMBER($O8),$O8=$Q8),TRUE)</formula>
    </cfRule>
    <cfRule type="expression" dxfId="254" priority="31">
      <formula>IF($O8&gt;$Q8,TRUE)</formula>
    </cfRule>
    <cfRule type="expression" dxfId="253" priority="32">
      <formula>IF($O8&lt;$Q8,TRUE)</formula>
    </cfRule>
  </conditionalFormatting>
  <conditionalFormatting sqref="S8:V18">
    <cfRule type="expression" dxfId="252" priority="14">
      <formula>IF(AND(ISNUMBER($S8),$S8=$U8),TRUE)</formula>
    </cfRule>
    <cfRule type="expression" dxfId="251" priority="35">
      <formula>IF($S8&gt;$U8,TRUE)</formula>
    </cfRule>
    <cfRule type="expression" dxfId="250" priority="36">
      <formula>IF($S8&lt;$U8,TRUE)</formula>
    </cfRule>
  </conditionalFormatting>
  <conditionalFormatting sqref="W8:Z18">
    <cfRule type="expression" dxfId="249" priority="9">
      <formula>IF(AND(ISNUMBER($W8),$W8=$Y8),TRUE)</formula>
    </cfRule>
    <cfRule type="expression" dxfId="248" priority="10">
      <formula>IF($W8&gt;$Y8,TRUE)</formula>
    </cfRule>
    <cfRule type="expression" dxfId="247" priority="11">
      <formula>IF($W8&lt;$Y8,TRUE)</formula>
    </cfRule>
  </conditionalFormatting>
  <conditionalFormatting sqref="C8:C18 G8:G18 K8:K18 O8:O18 S8:S18 W8:W18">
    <cfRule type="expression" dxfId="246" priority="1">
      <formula>AND(C8=0,E8=13)</formula>
    </cfRule>
  </conditionalFormatting>
  <conditionalFormatting sqref="E8:E18 I8:I18 M8:M18 Q8:Q18 U8:U18 Y8:Y18">
    <cfRule type="expression" dxfId="245" priority="2">
      <formula>AND(E8=0,C8=13)</formula>
    </cfRule>
  </conditionalFormatting>
  <pageMargins left="0.39370078740157483" right="0.39370078740157483" top="0.78740157480314965" bottom="0.39370078740157483" header="0.59055118110236227" footer="0"/>
  <pageSetup paperSize="9" fitToHeight="0" orientation="landscape" horizontalDpi="1200" verticalDpi="1200" r:id="rId1"/>
  <headerFooter>
    <oddHeader>&amp;R&amp;"Arial,Regular"&amp;9Page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B050"/>
    <pageSetUpPr fitToPage="1"/>
  </sheetPr>
  <dimension ref="A1:O331"/>
  <sheetViews>
    <sheetView showGridLines="0" showRowColHeaders="0" zoomScaleNormal="100" workbookViewId="0">
      <pane ySplit="2" topLeftCell="A297" activePane="bottomLeft" state="frozen"/>
      <selection activeCell="J40" sqref="J40"/>
      <selection pane="bottomLeft" activeCell="J1" sqref="J1"/>
    </sheetView>
  </sheetViews>
  <sheetFormatPr defaultRowHeight="12.75" x14ac:dyDescent="0.2"/>
  <cols>
    <col min="1" max="1" width="4.5703125" style="34" customWidth="1"/>
    <col min="2" max="2" width="19.7109375" style="34" customWidth="1"/>
    <col min="3" max="3" width="4.5703125" style="34" bestFit="1" customWidth="1"/>
    <col min="4" max="11" width="9.7109375" style="34" customWidth="1"/>
    <col min="12" max="12" width="4.5703125" style="34" customWidth="1"/>
    <col min="13" max="13" width="9.140625" style="34"/>
    <col min="14" max="14" width="2.7109375" style="34" customWidth="1"/>
    <col min="15" max="15" width="19.42578125" style="34" customWidth="1"/>
    <col min="16" max="16384" width="9.140625" style="34"/>
  </cols>
  <sheetData>
    <row r="1" spans="1:11" x14ac:dyDescent="0.2">
      <c r="A1" s="31" t="str">
        <f>UPPER((Kalend!E45)&amp;" - "&amp;(Kalend!C45)&amp;" - "&amp;(Kalend!D45))</f>
        <v>V-FIN - VOKA 5. KV SUPERFINAAL - ÜKSIK</v>
      </c>
      <c r="F1" s="28" t="str">
        <f>HYPERLINK("#Kalend!I1","Kalender")</f>
        <v>Kalender</v>
      </c>
      <c r="G1" s="2"/>
      <c r="H1" s="28" t="str">
        <f>HYPERLINK("#V!y1","Reiting")</f>
        <v>Reiting</v>
      </c>
      <c r="I1" s="2"/>
      <c r="K1" s="2"/>
    </row>
    <row r="2" spans="1:11" x14ac:dyDescent="0.2">
      <c r="A2" s="2" t="str">
        <f>"Toimumisaeg: "&amp;(Kalend!A45)&amp;" kell "&amp;(Kalend!B45)</f>
        <v>Toimumisaeg: P, 23.09.2018 kell 11:00</v>
      </c>
    </row>
    <row r="3" spans="1:11" x14ac:dyDescent="0.2">
      <c r="A3" s="2" t="str">
        <f>"Toimumiskoht: "&amp;(Kalend!F45)</f>
        <v>Toimumiskoht: Voka staadion</v>
      </c>
    </row>
    <row r="4" spans="1:11" x14ac:dyDescent="0.2">
      <c r="A4" s="2" t="str">
        <f>"Korraldaja: "&amp;(Kalend!G45)</f>
        <v>Korraldaja: Johannes Neiland</v>
      </c>
      <c r="F4" s="703" t="s">
        <v>15</v>
      </c>
    </row>
    <row r="6" spans="1:11" x14ac:dyDescent="0.2">
      <c r="A6" s="705" t="s">
        <v>525</v>
      </c>
    </row>
    <row r="7" spans="1:11" x14ac:dyDescent="0.2">
      <c r="A7" s="704"/>
    </row>
    <row r="8" spans="1:11" x14ac:dyDescent="0.2">
      <c r="A8" s="706">
        <v>1</v>
      </c>
      <c r="B8" s="746" t="s">
        <v>93</v>
      </c>
      <c r="C8" s="575">
        <f>IF(B8="-",0,IF(B10="-",13,""))</f>
        <v>13</v>
      </c>
      <c r="D8" s="707"/>
    </row>
    <row r="9" spans="1:11" x14ac:dyDescent="0.2">
      <c r="A9" s="708"/>
      <c r="B9" s="709">
        <v>-101</v>
      </c>
      <c r="C9" s="560" t="str">
        <f>IF(COUNT(C8,C10)=2,IF(C8&gt;C10,B8,B10),"")</f>
        <v>Jaan Sepp</v>
      </c>
      <c r="D9" s="710"/>
      <c r="E9" s="557">
        <v>9</v>
      </c>
    </row>
    <row r="10" spans="1:11" x14ac:dyDescent="0.2">
      <c r="A10" s="708">
        <v>32</v>
      </c>
      <c r="B10" s="760" t="s">
        <v>31</v>
      </c>
      <c r="C10" s="763">
        <f>IF(B10="-",0,IF(B8="-",13,""))</f>
        <v>0</v>
      </c>
      <c r="D10" s="738"/>
      <c r="E10" s="55"/>
    </row>
    <row r="11" spans="1:11" x14ac:dyDescent="0.2">
      <c r="A11" s="708"/>
      <c r="D11" s="711">
        <v>-117</v>
      </c>
      <c r="E11" s="560" t="str">
        <f>IF(COUNT(E9,E13)=2,IF(E9&gt;E13,C9,C13),"")</f>
        <v>Janek Tarto</v>
      </c>
      <c r="F11" s="557">
        <v>5</v>
      </c>
    </row>
    <row r="12" spans="1:11" x14ac:dyDescent="0.2">
      <c r="A12" s="708">
        <v>17</v>
      </c>
      <c r="B12" s="746" t="s">
        <v>128</v>
      </c>
      <c r="C12" s="575">
        <v>6</v>
      </c>
      <c r="D12" s="713"/>
      <c r="E12" s="749"/>
    </row>
    <row r="13" spans="1:11" x14ac:dyDescent="0.2">
      <c r="A13" s="708"/>
      <c r="B13" s="709">
        <v>-102</v>
      </c>
      <c r="C13" s="560" t="str">
        <f>IF(COUNT(C12,C14)=2,IF(C12&gt;C14,B12,B14),"")</f>
        <v>Janek Tarto</v>
      </c>
      <c r="D13" s="718"/>
      <c r="E13" s="576">
        <v>13</v>
      </c>
    </row>
    <row r="14" spans="1:11" x14ac:dyDescent="0.2">
      <c r="A14" s="708">
        <v>16</v>
      </c>
      <c r="B14" s="760" t="s">
        <v>90</v>
      </c>
      <c r="C14" s="562">
        <v>13</v>
      </c>
      <c r="D14" s="751"/>
      <c r="E14" s="716"/>
    </row>
    <row r="15" spans="1:11" x14ac:dyDescent="0.2">
      <c r="A15" s="717"/>
      <c r="C15" s="712"/>
      <c r="E15" s="711">
        <v>-141</v>
      </c>
      <c r="F15" s="560" t="str">
        <f>IF(COUNT(F11,F19)=2,IF(F11&gt;F19,E11,E19),"")</f>
        <v>Oleg Rõndenkov</v>
      </c>
      <c r="G15" s="557">
        <v>13</v>
      </c>
    </row>
    <row r="16" spans="1:11" x14ac:dyDescent="0.2">
      <c r="A16" s="706">
        <v>9</v>
      </c>
      <c r="B16" s="746" t="s">
        <v>109</v>
      </c>
      <c r="C16" s="575">
        <v>13</v>
      </c>
      <c r="D16" s="707"/>
      <c r="E16" s="716"/>
      <c r="F16" s="714"/>
    </row>
    <row r="17" spans="1:8" x14ac:dyDescent="0.2">
      <c r="A17" s="708"/>
      <c r="B17" s="709">
        <v>-103</v>
      </c>
      <c r="C17" s="560" t="str">
        <f>IF(COUNT(C16,C18)=2,IF(C16&gt;C18,B16,B18),"")</f>
        <v>Oleg Rõndenkov</v>
      </c>
      <c r="D17" s="710"/>
      <c r="E17" s="576">
        <v>13</v>
      </c>
      <c r="F17" s="716"/>
    </row>
    <row r="18" spans="1:8" x14ac:dyDescent="0.2">
      <c r="A18" s="708">
        <v>24</v>
      </c>
      <c r="B18" s="760" t="s">
        <v>130</v>
      </c>
      <c r="C18" s="955">
        <v>6</v>
      </c>
      <c r="D18" s="738"/>
      <c r="E18" s="564"/>
      <c r="F18" s="716"/>
    </row>
    <row r="19" spans="1:8" x14ac:dyDescent="0.2">
      <c r="A19" s="708"/>
      <c r="D19" s="711">
        <v>-118</v>
      </c>
      <c r="E19" s="748" t="str">
        <f>IF(COUNT(E17,E21)=2,IF(E17&gt;E21,C17,C21),"")</f>
        <v>Oleg Rõndenkov</v>
      </c>
      <c r="F19" s="764">
        <v>13</v>
      </c>
    </row>
    <row r="20" spans="1:8" x14ac:dyDescent="0.2">
      <c r="A20" s="708">
        <v>25</v>
      </c>
      <c r="B20" s="746" t="s">
        <v>124</v>
      </c>
      <c r="C20" s="766">
        <v>0</v>
      </c>
      <c r="D20" s="715"/>
      <c r="E20" s="565"/>
      <c r="F20" s="716"/>
    </row>
    <row r="21" spans="1:8" x14ac:dyDescent="0.2">
      <c r="A21" s="708"/>
      <c r="B21" s="709">
        <v>-104</v>
      </c>
      <c r="C21" s="560" t="str">
        <f>IF(COUNT(C20,C22)=2,IF(C20&gt;C22,B20,B22),"")</f>
        <v>Boriss Klubov</v>
      </c>
      <c r="D21" s="718"/>
      <c r="E21" s="562">
        <v>4</v>
      </c>
      <c r="F21" s="716"/>
    </row>
    <row r="22" spans="1:8" x14ac:dyDescent="0.2">
      <c r="A22" s="708">
        <v>8</v>
      </c>
      <c r="B22" s="760" t="s">
        <v>95</v>
      </c>
      <c r="C22" s="562">
        <v>13</v>
      </c>
      <c r="D22" s="751"/>
      <c r="E22" s="712"/>
      <c r="F22" s="716"/>
    </row>
    <row r="23" spans="1:8" x14ac:dyDescent="0.2">
      <c r="C23" s="712"/>
      <c r="F23" s="711">
        <v>-157</v>
      </c>
      <c r="G23" s="560" t="str">
        <f>IF(COUNT(G15,G31)=2,IF(G15&gt;G31,F15,F31),"")</f>
        <v>Oleg Rõndenkov</v>
      </c>
      <c r="H23" s="557">
        <v>13</v>
      </c>
    </row>
    <row r="24" spans="1:8" x14ac:dyDescent="0.2">
      <c r="A24" s="706">
        <v>5</v>
      </c>
      <c r="B24" s="746" t="s">
        <v>209</v>
      </c>
      <c r="C24" s="575">
        <f>IF(B24="-",0,IF(B26="-",13,""))</f>
        <v>13</v>
      </c>
      <c r="D24" s="707"/>
      <c r="F24" s="716"/>
      <c r="G24" s="714"/>
    </row>
    <row r="25" spans="1:8" x14ac:dyDescent="0.2">
      <c r="A25" s="708"/>
      <c r="B25" s="709">
        <v>-105</v>
      </c>
      <c r="C25" s="560" t="str">
        <f>IF(COUNT(C24,C26)=2,IF(C24&gt;C26,B24,B26),"")</f>
        <v>Kenneth Muusikus</v>
      </c>
      <c r="D25" s="710"/>
      <c r="E25" s="557">
        <v>11</v>
      </c>
      <c r="F25" s="716"/>
      <c r="G25" s="716"/>
    </row>
    <row r="26" spans="1:8" x14ac:dyDescent="0.2">
      <c r="A26" s="708">
        <v>28</v>
      </c>
      <c r="B26" s="760" t="s">
        <v>31</v>
      </c>
      <c r="C26" s="763">
        <f>IF(B26="-",0,IF(B24="-",13,""))</f>
        <v>0</v>
      </c>
      <c r="D26" s="738"/>
      <c r="E26" s="55"/>
      <c r="F26" s="716"/>
      <c r="G26" s="716"/>
    </row>
    <row r="27" spans="1:8" x14ac:dyDescent="0.2">
      <c r="A27" s="708"/>
      <c r="D27" s="711">
        <v>-119</v>
      </c>
      <c r="E27" s="560" t="str">
        <f>IF(COUNT(E25,E29)=2,IF(E25&gt;E29,C25,C29),"")</f>
        <v>Tarmo Bombe</v>
      </c>
      <c r="F27" s="576">
        <v>11</v>
      </c>
      <c r="G27" s="716"/>
    </row>
    <row r="28" spans="1:8" x14ac:dyDescent="0.2">
      <c r="A28" s="708">
        <v>21</v>
      </c>
      <c r="B28" s="746" t="s">
        <v>122</v>
      </c>
      <c r="C28" s="575">
        <v>13</v>
      </c>
      <c r="D28" s="715"/>
      <c r="E28" s="749"/>
      <c r="F28" s="716"/>
      <c r="G28" s="716"/>
    </row>
    <row r="29" spans="1:8" x14ac:dyDescent="0.2">
      <c r="A29" s="708"/>
      <c r="B29" s="709">
        <v>-106</v>
      </c>
      <c r="C29" s="560" t="str">
        <f>IF(COUNT(C28,C30)=2,IF(C28&gt;C30,B28,B30),"")</f>
        <v>Tarmo Bombe</v>
      </c>
      <c r="D29" s="718"/>
      <c r="E29" s="576">
        <v>13</v>
      </c>
      <c r="F29" s="716"/>
      <c r="G29" s="716"/>
    </row>
    <row r="30" spans="1:8" x14ac:dyDescent="0.2">
      <c r="A30" s="708">
        <v>12</v>
      </c>
      <c r="B30" s="760" t="s">
        <v>102</v>
      </c>
      <c r="C30" s="562">
        <v>9</v>
      </c>
      <c r="D30" s="751"/>
      <c r="E30" s="716"/>
      <c r="F30" s="716"/>
      <c r="G30" s="716"/>
    </row>
    <row r="31" spans="1:8" x14ac:dyDescent="0.2">
      <c r="C31" s="712"/>
      <c r="E31" s="711">
        <v>-142</v>
      </c>
      <c r="F31" s="748" t="str">
        <f>IF(COUNT(F27,F35)=2,IF(F27&gt;F35,E27,E35),"")</f>
        <v>Svetlana Veski</v>
      </c>
      <c r="G31" s="576">
        <v>5</v>
      </c>
    </row>
    <row r="32" spans="1:8" x14ac:dyDescent="0.2">
      <c r="A32" s="706">
        <v>13</v>
      </c>
      <c r="B32" s="746" t="s">
        <v>125</v>
      </c>
      <c r="C32" s="575">
        <v>4</v>
      </c>
      <c r="D32" s="707"/>
      <c r="E32" s="716"/>
      <c r="F32" s="733"/>
      <c r="G32" s="716"/>
    </row>
    <row r="33" spans="1:12" x14ac:dyDescent="0.2">
      <c r="A33" s="708"/>
      <c r="B33" s="709">
        <v>-107</v>
      </c>
      <c r="C33" s="560" t="str">
        <f>IF(COUNT(C32,C34)=2,IF(C32&gt;C34,B32,B34),"")</f>
        <v>Svetlana Veski</v>
      </c>
      <c r="D33" s="710"/>
      <c r="E33" s="576">
        <v>13</v>
      </c>
      <c r="F33" s="724"/>
      <c r="G33" s="716"/>
    </row>
    <row r="34" spans="1:12" x14ac:dyDescent="0.2">
      <c r="A34" s="708">
        <v>20</v>
      </c>
      <c r="B34" s="760" t="s">
        <v>104</v>
      </c>
      <c r="C34" s="763">
        <v>13</v>
      </c>
      <c r="D34" s="738"/>
      <c r="E34" s="564"/>
      <c r="F34" s="724"/>
      <c r="G34" s="716"/>
    </row>
    <row r="35" spans="1:12" x14ac:dyDescent="0.2">
      <c r="A35" s="708"/>
      <c r="D35" s="711">
        <v>-120</v>
      </c>
      <c r="E35" s="748" t="str">
        <f>IF(COUNT(E33,E37)=2,IF(E33&gt;E37,C33,C37),"")</f>
        <v>Svetlana Veski</v>
      </c>
      <c r="F35" s="562">
        <v>13</v>
      </c>
      <c r="G35" s="716"/>
    </row>
    <row r="36" spans="1:12" x14ac:dyDescent="0.2">
      <c r="A36" s="708">
        <v>29</v>
      </c>
      <c r="B36" s="746" t="s">
        <v>31</v>
      </c>
      <c r="C36" s="575">
        <f>IF(B36="-",0,IF(B38="-",13,""))</f>
        <v>0</v>
      </c>
      <c r="D36" s="715"/>
      <c r="E36" s="565"/>
      <c r="G36" s="716"/>
    </row>
    <row r="37" spans="1:12" x14ac:dyDescent="0.2">
      <c r="A37" s="708"/>
      <c r="B37" s="709">
        <v>-108</v>
      </c>
      <c r="C37" s="560" t="str">
        <f>IF(COUNT(C36,C38)=2,IF(C36&gt;C38,B36,B38),"")</f>
        <v>Tõnu Piik</v>
      </c>
      <c r="D37" s="718"/>
      <c r="E37" s="562">
        <v>5</v>
      </c>
      <c r="F37" s="712"/>
      <c r="G37" s="716"/>
    </row>
    <row r="38" spans="1:12" x14ac:dyDescent="0.2">
      <c r="A38" s="708">
        <v>4</v>
      </c>
      <c r="B38" s="760" t="s">
        <v>96</v>
      </c>
      <c r="C38" s="562">
        <f>IF(B38="-",0,IF(B36="-",13,""))</f>
        <v>13</v>
      </c>
      <c r="D38" s="751"/>
      <c r="E38" s="712"/>
      <c r="F38" s="712"/>
      <c r="G38" s="716"/>
    </row>
    <row r="39" spans="1:12" x14ac:dyDescent="0.2">
      <c r="A39" s="708"/>
      <c r="B39" s="712"/>
      <c r="C39" s="575"/>
      <c r="D39" s="719"/>
      <c r="E39" s="712"/>
      <c r="F39" s="712"/>
      <c r="G39" s="716"/>
    </row>
    <row r="40" spans="1:12" x14ac:dyDescent="0.2">
      <c r="B40" s="708"/>
      <c r="C40" s="708"/>
      <c r="D40" s="712"/>
      <c r="E40" s="719"/>
      <c r="F40" s="712"/>
      <c r="G40" s="711">
        <v>-177</v>
      </c>
      <c r="H40" s="560" t="str">
        <f>IF(COUNT(H23,H56)=2,IF(H23&gt;H56,G23,G56),"")</f>
        <v>Oleg Rõndenkov</v>
      </c>
      <c r="I40" s="707"/>
      <c r="L40" s="557">
        <v>8</v>
      </c>
    </row>
    <row r="41" spans="1:12" x14ac:dyDescent="0.2">
      <c r="A41" s="717">
        <v>3</v>
      </c>
      <c r="B41" s="746" t="s">
        <v>101</v>
      </c>
      <c r="C41" s="575">
        <f>IF(B41="-",0,IF(B43="-",13,""))</f>
        <v>13</v>
      </c>
      <c r="D41" s="707"/>
      <c r="H41" s="733"/>
      <c r="I41" s="728"/>
      <c r="J41" s="728"/>
      <c r="K41" s="714"/>
    </row>
    <row r="42" spans="1:12" x14ac:dyDescent="0.2">
      <c r="A42" s="708"/>
      <c r="B42" s="709">
        <v>-109</v>
      </c>
      <c r="C42" s="560" t="str">
        <f>IF(COUNT(C41,C43)=2,IF(C41&gt;C43,B41,B43),"")</f>
        <v>Mait Metsla</v>
      </c>
      <c r="D42" s="710"/>
      <c r="E42" s="557">
        <v>6</v>
      </c>
      <c r="G42" s="720"/>
      <c r="H42" s="724"/>
      <c r="I42" s="712"/>
      <c r="J42" s="712"/>
      <c r="K42" s="716"/>
    </row>
    <row r="43" spans="1:12" x14ac:dyDescent="0.2">
      <c r="A43" s="708">
        <v>30</v>
      </c>
      <c r="B43" s="760" t="s">
        <v>31</v>
      </c>
      <c r="C43" s="763">
        <f>IF(B43="-",0,IF(B41="-",13,""))</f>
        <v>0</v>
      </c>
      <c r="D43" s="738"/>
      <c r="E43" s="55"/>
      <c r="G43" s="716"/>
      <c r="H43" s="724"/>
      <c r="I43" s="712"/>
      <c r="J43" s="712"/>
      <c r="K43" s="716"/>
    </row>
    <row r="44" spans="1:12" x14ac:dyDescent="0.2">
      <c r="A44" s="708"/>
      <c r="D44" s="711">
        <v>-121</v>
      </c>
      <c r="E44" s="560" t="str">
        <f>IF(COUNT(E42,E46)=2,IF(E42&gt;E46,C42,C46),"")</f>
        <v>Karla Purgats</v>
      </c>
      <c r="F44" s="557">
        <v>9</v>
      </c>
      <c r="G44" s="716"/>
      <c r="K44" s="716"/>
    </row>
    <row r="45" spans="1:12" x14ac:dyDescent="0.2">
      <c r="A45" s="708">
        <v>19</v>
      </c>
      <c r="B45" s="746" t="s">
        <v>97</v>
      </c>
      <c r="C45" s="575">
        <v>7</v>
      </c>
      <c r="D45" s="715"/>
      <c r="E45" s="749"/>
      <c r="G45" s="716"/>
      <c r="K45" s="716"/>
    </row>
    <row r="46" spans="1:12" x14ac:dyDescent="0.2">
      <c r="A46" s="708"/>
      <c r="B46" s="709">
        <v>-110</v>
      </c>
      <c r="C46" s="560" t="str">
        <f>IF(COUNT(C45,C47)=2,IF(C45&gt;C47,B45,B47),"")</f>
        <v>Karla Purgats</v>
      </c>
      <c r="D46" s="718"/>
      <c r="E46" s="576">
        <v>13</v>
      </c>
      <c r="G46" s="716"/>
      <c r="K46" s="716"/>
    </row>
    <row r="47" spans="1:12" x14ac:dyDescent="0.2">
      <c r="A47" s="708">
        <v>14</v>
      </c>
      <c r="B47" s="760" t="s">
        <v>115</v>
      </c>
      <c r="C47" s="562">
        <v>13</v>
      </c>
      <c r="D47" s="751"/>
      <c r="E47" s="716"/>
      <c r="G47" s="716"/>
      <c r="K47" s="716"/>
    </row>
    <row r="48" spans="1:12" x14ac:dyDescent="0.2">
      <c r="A48" s="717"/>
      <c r="C48" s="712"/>
      <c r="E48" s="711">
        <v>-143</v>
      </c>
      <c r="F48" s="560" t="str">
        <f>IF(COUNT(F44,F52)=2,IF(F44&gt;F52,E44,E52),"")</f>
        <v>Aarne Välja</v>
      </c>
      <c r="G48" s="576">
        <v>13</v>
      </c>
      <c r="K48" s="716"/>
    </row>
    <row r="49" spans="1:14" x14ac:dyDescent="0.2">
      <c r="A49" s="706">
        <v>11</v>
      </c>
      <c r="B49" s="746" t="s">
        <v>120</v>
      </c>
      <c r="C49" s="575">
        <v>12</v>
      </c>
      <c r="D49" s="707"/>
      <c r="E49" s="716"/>
      <c r="F49" s="714"/>
      <c r="G49" s="716"/>
      <c r="K49" s="716"/>
    </row>
    <row r="50" spans="1:14" x14ac:dyDescent="0.2">
      <c r="A50" s="708"/>
      <c r="B50" s="709">
        <v>-111</v>
      </c>
      <c r="C50" s="560" t="str">
        <f>IF(COUNT(C49,C51)=2,IF(C49&gt;C51,B49,B51),"")</f>
        <v>Aarne Välja</v>
      </c>
      <c r="D50" s="710"/>
      <c r="E50" s="576">
        <v>13</v>
      </c>
      <c r="F50" s="716"/>
      <c r="G50" s="716"/>
      <c r="K50" s="716"/>
    </row>
    <row r="51" spans="1:14" x14ac:dyDescent="0.2">
      <c r="A51" s="708">
        <v>22</v>
      </c>
      <c r="B51" s="752" t="s">
        <v>94</v>
      </c>
      <c r="C51" s="763">
        <v>13</v>
      </c>
      <c r="D51" s="738"/>
      <c r="E51" s="564"/>
      <c r="F51" s="716"/>
      <c r="G51" s="716"/>
      <c r="K51" s="716"/>
    </row>
    <row r="52" spans="1:14" x14ac:dyDescent="0.2">
      <c r="A52" s="708"/>
      <c r="D52" s="711">
        <v>-122</v>
      </c>
      <c r="E52" s="748" t="str">
        <f>IF(COUNT(E50,E54)=2,IF(E50&gt;E54,C50,C54),"")</f>
        <v>Aarne Välja</v>
      </c>
      <c r="F52" s="764">
        <v>13</v>
      </c>
      <c r="G52" s="716"/>
      <c r="K52" s="716"/>
    </row>
    <row r="53" spans="1:14" x14ac:dyDescent="0.2">
      <c r="A53" s="708">
        <v>27</v>
      </c>
      <c r="B53" s="746" t="s">
        <v>31</v>
      </c>
      <c r="C53" s="575">
        <f>IF(B53="-",0,IF(B55="-",13,""))</f>
        <v>0</v>
      </c>
      <c r="D53" s="715"/>
      <c r="E53" s="565"/>
      <c r="F53" s="716"/>
      <c r="G53" s="716"/>
      <c r="K53" s="716"/>
    </row>
    <row r="54" spans="1:14" x14ac:dyDescent="0.2">
      <c r="A54" s="708"/>
      <c r="B54" s="709">
        <v>-112</v>
      </c>
      <c r="C54" s="560" t="str">
        <f>IF(COUNT(C53,C55)=2,IF(C53&gt;C55,B53,B55),"")</f>
        <v>Oksana Sažina</v>
      </c>
      <c r="D54" s="718"/>
      <c r="E54" s="562">
        <v>11</v>
      </c>
      <c r="F54" s="716"/>
      <c r="G54" s="716"/>
      <c r="K54" s="716"/>
    </row>
    <row r="55" spans="1:14" x14ac:dyDescent="0.2">
      <c r="A55" s="708">
        <v>6</v>
      </c>
      <c r="B55" s="760" t="s">
        <v>126</v>
      </c>
      <c r="C55" s="562">
        <f>IF(B55="-",0,IF(B53="-",13,""))</f>
        <v>13</v>
      </c>
      <c r="D55" s="751"/>
      <c r="E55" s="712"/>
      <c r="F55" s="716"/>
      <c r="G55" s="716"/>
      <c r="K55" s="716"/>
    </row>
    <row r="56" spans="1:14" x14ac:dyDescent="0.2">
      <c r="C56" s="712"/>
      <c r="F56" s="711">
        <v>-158</v>
      </c>
      <c r="G56" s="748" t="str">
        <f>IF(COUNT(G48,G64)=2,IF(G48&gt;G64,F48,F64),"")</f>
        <v>Aarne Välja</v>
      </c>
      <c r="H56" s="557">
        <v>6</v>
      </c>
      <c r="K56" s="716"/>
    </row>
    <row r="57" spans="1:14" x14ac:dyDescent="0.2">
      <c r="A57" s="706">
        <v>7</v>
      </c>
      <c r="B57" s="746" t="s">
        <v>207</v>
      </c>
      <c r="C57" s="575">
        <v>5</v>
      </c>
      <c r="D57" s="707"/>
      <c r="F57" s="716"/>
      <c r="G57" s="733"/>
      <c r="K57" s="715"/>
    </row>
    <row r="58" spans="1:14" x14ac:dyDescent="0.2">
      <c r="A58" s="708"/>
      <c r="B58" s="709">
        <v>-113</v>
      </c>
      <c r="C58" s="560" t="str">
        <f>IF(COUNT(C57,C59)=2,IF(C57&gt;C59,B57,B59),"")</f>
        <v>Jaan Saar</v>
      </c>
      <c r="D58" s="710"/>
      <c r="E58" s="557">
        <v>13</v>
      </c>
      <c r="F58" s="716"/>
      <c r="G58" s="724"/>
      <c r="K58" s="716"/>
    </row>
    <row r="59" spans="1:14" x14ac:dyDescent="0.2">
      <c r="A59" s="708">
        <v>26</v>
      </c>
      <c r="B59" s="760" t="s">
        <v>208</v>
      </c>
      <c r="C59" s="763">
        <v>13</v>
      </c>
      <c r="D59" s="738"/>
      <c r="E59" s="55"/>
      <c r="F59" s="716"/>
      <c r="G59" s="724"/>
      <c r="K59" s="716"/>
    </row>
    <row r="60" spans="1:14" x14ac:dyDescent="0.2">
      <c r="A60" s="708"/>
      <c r="D60" s="711">
        <v>-123</v>
      </c>
      <c r="E60" s="560" t="str">
        <f>IF(COUNT(E58,E62)=2,IF(E58&gt;E62,C58,C62),"")</f>
        <v>Jaan Saar</v>
      </c>
      <c r="F60" s="576">
        <v>6</v>
      </c>
      <c r="G60" s="724"/>
      <c r="K60" s="716"/>
    </row>
    <row r="61" spans="1:14" x14ac:dyDescent="0.2">
      <c r="A61" s="708">
        <v>23</v>
      </c>
      <c r="B61" s="746" t="s">
        <v>105</v>
      </c>
      <c r="C61" s="575">
        <v>13</v>
      </c>
      <c r="D61" s="715"/>
      <c r="E61" s="749"/>
      <c r="F61" s="716"/>
      <c r="G61" s="724"/>
      <c r="K61" s="716"/>
    </row>
    <row r="62" spans="1:14" x14ac:dyDescent="0.2">
      <c r="A62" s="708"/>
      <c r="B62" s="709">
        <v>-114</v>
      </c>
      <c r="C62" s="560" t="str">
        <f>IF(COUNT(C61,C63)=2,IF(C61&gt;C63,B61,B63),"")</f>
        <v>Ülo Piik</v>
      </c>
      <c r="D62" s="718"/>
      <c r="E62" s="576">
        <v>6</v>
      </c>
      <c r="F62" s="716"/>
      <c r="G62" s="724"/>
      <c r="K62" s="753" t="s">
        <v>536</v>
      </c>
      <c r="N62" s="707"/>
    </row>
    <row r="63" spans="1:14" x14ac:dyDescent="0.2">
      <c r="A63" s="708">
        <v>10</v>
      </c>
      <c r="B63" s="760" t="s">
        <v>119</v>
      </c>
      <c r="C63" s="562">
        <v>9</v>
      </c>
      <c r="D63" s="751"/>
      <c r="E63" s="716"/>
      <c r="F63" s="716"/>
      <c r="G63" s="724"/>
      <c r="K63" s="716"/>
    </row>
    <row r="64" spans="1:14" x14ac:dyDescent="0.2">
      <c r="C64" s="712"/>
      <c r="E64" s="711">
        <v>-144</v>
      </c>
      <c r="F64" s="748" t="str">
        <f>IF(COUNT(F60,F68)=2,IF(F60&gt;F68,E60,E68),"")</f>
        <v>Elmo Lageda</v>
      </c>
      <c r="G64" s="562">
        <v>12</v>
      </c>
      <c r="K64" s="716"/>
    </row>
    <row r="65" spans="1:15" x14ac:dyDescent="0.2">
      <c r="A65" s="706">
        <v>15</v>
      </c>
      <c r="B65" s="746" t="s">
        <v>117</v>
      </c>
      <c r="C65" s="575">
        <v>9</v>
      </c>
      <c r="D65" s="707"/>
      <c r="E65" s="716"/>
      <c r="F65" s="733"/>
      <c r="K65" s="721" t="s">
        <v>537</v>
      </c>
      <c r="L65" s="560" t="str">
        <f>IF(COUNT(L40,L80)=2,IF(L40&gt;L80,H40,K80),"")</f>
        <v>Elmo Lageda</v>
      </c>
      <c r="N65" s="557">
        <v>3</v>
      </c>
    </row>
    <row r="66" spans="1:15" x14ac:dyDescent="0.2">
      <c r="A66" s="708"/>
      <c r="B66" s="709">
        <v>-115</v>
      </c>
      <c r="C66" s="560" t="str">
        <f>IF(COUNT(C65,C67)=2,IF(C65&gt;C67,B65,B67),"")</f>
        <v>Andrei Grintšak</v>
      </c>
      <c r="D66" s="710"/>
      <c r="E66" s="576">
        <v>9</v>
      </c>
      <c r="F66" s="724"/>
      <c r="K66" s="754" t="s">
        <v>541</v>
      </c>
      <c r="L66" s="728"/>
      <c r="M66" s="714"/>
      <c r="N66" s="55"/>
    </row>
    <row r="67" spans="1:15" ht="13.5" thickBot="1" x14ac:dyDescent="0.25">
      <c r="A67" s="708">
        <v>18</v>
      </c>
      <c r="B67" s="760" t="s">
        <v>107</v>
      </c>
      <c r="C67" s="763">
        <v>13</v>
      </c>
      <c r="D67" s="738"/>
      <c r="E67" s="564"/>
      <c r="F67" s="724"/>
      <c r="K67" s="754" t="s">
        <v>542</v>
      </c>
      <c r="M67" s="721" t="s">
        <v>526</v>
      </c>
      <c r="N67" s="750"/>
      <c r="O67" s="723" t="str">
        <f>IF(N65="",L65,IF(COUNT(N65,N69)=2,IF(N65&gt;N69,L65,M69),""))</f>
        <v>Oleg Rõndenkov</v>
      </c>
    </row>
    <row r="68" spans="1:15" x14ac:dyDescent="0.2">
      <c r="A68" s="708"/>
      <c r="D68" s="711">
        <v>-124</v>
      </c>
      <c r="E68" s="748" t="str">
        <f>IF(COUNT(E66,E70)=2,IF(E66&gt;E70,C66,C70),"")</f>
        <v>Elmo Lageda</v>
      </c>
      <c r="F68" s="562">
        <v>13</v>
      </c>
      <c r="K68" s="754" t="s">
        <v>538</v>
      </c>
      <c r="M68" s="755"/>
      <c r="N68" s="568"/>
      <c r="O68" s="725" t="s">
        <v>383</v>
      </c>
    </row>
    <row r="69" spans="1:15" x14ac:dyDescent="0.2">
      <c r="A69" s="708">
        <v>31</v>
      </c>
      <c r="B69" s="746" t="s">
        <v>31</v>
      </c>
      <c r="C69" s="575">
        <f>IF(B69="-",0,IF(B71="-",13,""))</f>
        <v>0</v>
      </c>
      <c r="D69" s="715"/>
      <c r="E69" s="565"/>
      <c r="K69" s="716"/>
      <c r="L69" s="756">
        <v>146</v>
      </c>
      <c r="M69" s="757" t="str">
        <f>IF(COUNT(L40,L80)=2,IF(L40&lt;L80,H40,K80),"")</f>
        <v>Oleg Rõndenkov</v>
      </c>
      <c r="N69" s="562">
        <v>13</v>
      </c>
      <c r="O69" s="712"/>
    </row>
    <row r="70" spans="1:15" ht="13.5" thickBot="1" x14ac:dyDescent="0.25">
      <c r="A70" s="708"/>
      <c r="B70" s="709">
        <v>-116</v>
      </c>
      <c r="C70" s="560" t="str">
        <f>IF(COUNT(C69,C71)=2,IF(C69&gt;C71,B69,B71),"")</f>
        <v>Elmo Lageda</v>
      </c>
      <c r="D70" s="718"/>
      <c r="E70" s="562">
        <v>13</v>
      </c>
      <c r="I70" s="727"/>
      <c r="K70" s="716"/>
      <c r="M70" s="758"/>
      <c r="O70" s="606" t="str">
        <f>IF(N69="",M69,IF(COUNT(N65,N69)=2,IF(N65&lt;N69,L65,M69),""))</f>
        <v>Elmo Lageda</v>
      </c>
    </row>
    <row r="71" spans="1:15" x14ac:dyDescent="0.2">
      <c r="A71" s="708">
        <v>2</v>
      </c>
      <c r="B71" s="760" t="s">
        <v>99</v>
      </c>
      <c r="C71" s="562">
        <f>IF(B71="-",0,IF(B69="-",13,""))</f>
        <v>13</v>
      </c>
      <c r="D71" s="751"/>
      <c r="E71" s="712"/>
      <c r="K71" s="716"/>
      <c r="N71" s="707"/>
      <c r="O71" s="717" t="s">
        <v>386</v>
      </c>
    </row>
    <row r="72" spans="1:15" x14ac:dyDescent="0.2">
      <c r="A72" s="708"/>
      <c r="B72" s="712"/>
      <c r="C72" s="575"/>
      <c r="D72" s="719"/>
      <c r="E72" s="712"/>
      <c r="K72" s="753" t="s">
        <v>536</v>
      </c>
      <c r="N72" s="707"/>
      <c r="O72" s="717"/>
    </row>
    <row r="73" spans="1:15" x14ac:dyDescent="0.2">
      <c r="A73" s="729" t="s">
        <v>527</v>
      </c>
      <c r="B73" s="712"/>
      <c r="C73" s="712"/>
      <c r="D73" s="719"/>
      <c r="E73" s="712"/>
      <c r="F73" s="712"/>
      <c r="H73" s="712"/>
      <c r="I73" s="717">
        <v>-177</v>
      </c>
      <c r="J73" s="34" t="str">
        <f>IF(COUNT(H23,H56)=2,IF(H23&lt;H56,G23,G56),"")</f>
        <v>Aarne Välja</v>
      </c>
      <c r="K73" s="576">
        <v>9</v>
      </c>
    </row>
    <row r="74" spans="1:15" ht="13.5" thickBot="1" x14ac:dyDescent="0.25">
      <c r="B74" s="52"/>
      <c r="C74" s="52"/>
      <c r="D74" s="712"/>
      <c r="J74" s="714"/>
      <c r="K74" s="716"/>
      <c r="M74" s="708" t="s">
        <v>550</v>
      </c>
      <c r="O74" s="723" t="str">
        <f>IF(COUNT(K73,K87)=2,IF(K73&lt;K87,J73,J87),"")</f>
        <v>Aarne Välja</v>
      </c>
    </row>
    <row r="75" spans="1:15" x14ac:dyDescent="0.2">
      <c r="A75" s="708"/>
      <c r="B75" s="717"/>
      <c r="F75" s="712"/>
      <c r="G75" s="737">
        <v>-157</v>
      </c>
      <c r="H75" s="712" t="str">
        <f>IF(COUNT(G15,G31)=2,IF(G15&lt;G31,F15,F31),"")</f>
        <v>Svetlana Veski</v>
      </c>
      <c r="I75" s="575">
        <v>13</v>
      </c>
      <c r="J75" s="716"/>
      <c r="K75" s="716"/>
      <c r="N75" s="765"/>
      <c r="O75" s="725" t="s">
        <v>388</v>
      </c>
    </row>
    <row r="76" spans="1:15" x14ac:dyDescent="0.2">
      <c r="E76" s="717">
        <v>-144</v>
      </c>
      <c r="F76" s="710" t="str">
        <f>IF(COUNT(F60,F68)=2,IF(F60&lt;F68,E60,E68),"")</f>
        <v>Jaan Saar</v>
      </c>
      <c r="G76" s="557">
        <v>11</v>
      </c>
      <c r="H76" s="738"/>
      <c r="I76" s="712"/>
      <c r="J76" s="716"/>
      <c r="K76" s="716"/>
      <c r="N76" s="712"/>
    </row>
    <row r="77" spans="1:15" ht="13.5" thickBot="1" x14ac:dyDescent="0.25">
      <c r="A77" s="708"/>
      <c r="B77" s="717"/>
      <c r="C77" s="717">
        <v>-120</v>
      </c>
      <c r="D77" s="710" t="str">
        <f>IF(COUNT(E33,E37)=2,IF(E33&lt;E37,C33,C37),"")</f>
        <v>Tõnu Piik</v>
      </c>
      <c r="E77" s="557">
        <v>13</v>
      </c>
      <c r="F77" s="714"/>
      <c r="G77" s="55"/>
      <c r="H77" s="716"/>
      <c r="I77" s="712"/>
      <c r="J77" s="716"/>
      <c r="K77" s="716"/>
      <c r="M77" s="708" t="s">
        <v>539</v>
      </c>
      <c r="N77" s="726"/>
      <c r="O77" s="723" t="str">
        <f>IF(COUNT(J79,J95)=2,IF(J79&lt;J95,I79,I95),"")</f>
        <v>Svetlana Veski</v>
      </c>
    </row>
    <row r="78" spans="1:15" x14ac:dyDescent="0.2">
      <c r="A78" s="708">
        <v>-109</v>
      </c>
      <c r="B78" s="746" t="str">
        <f>IF(COUNT(C41,C43)=2,IF(C41&lt;C43,B41,B43),"")</f>
        <v>-</v>
      </c>
      <c r="C78" s="575">
        <f>IF(B78="-",0,IF(B80="-",13,""))</f>
        <v>0</v>
      </c>
      <c r="D78" s="759">
        <v>133</v>
      </c>
      <c r="E78" s="560" t="str">
        <f>IF(COUNT(E77,E79)=2,IF(E77&gt;E79,D77,C79),"")</f>
        <v>Tõnu Piik</v>
      </c>
      <c r="F78" s="575">
        <v>13</v>
      </c>
      <c r="G78" s="560" t="str">
        <f>IF(COUNT(G76,G80)=2,IF(G76&gt;G80,F76,F80),"")</f>
        <v>Tõnu Piik</v>
      </c>
      <c r="H78" s="576">
        <v>13</v>
      </c>
      <c r="I78" s="712"/>
      <c r="J78" s="716"/>
      <c r="K78" s="716"/>
      <c r="O78" s="725" t="s">
        <v>389</v>
      </c>
    </row>
    <row r="79" spans="1:15" x14ac:dyDescent="0.2">
      <c r="A79" s="708"/>
      <c r="B79" s="731">
        <v>125</v>
      </c>
      <c r="C79" s="560" t="str">
        <f>IF(COUNT(C78,C80)=2,IF(C78&gt;C80,B78,B80),"")</f>
        <v>Andres Veski</v>
      </c>
      <c r="D79" s="718"/>
      <c r="E79" s="747">
        <v>9</v>
      </c>
      <c r="F79" s="730">
        <v>163</v>
      </c>
      <c r="G79" s="749"/>
      <c r="H79" s="735" t="s">
        <v>528</v>
      </c>
      <c r="I79" s="560" t="str">
        <f>IF(COUNT(I75,I82)=2,IF(I75&gt;I82,H75,H82),"")</f>
        <v>Svetlana Veski</v>
      </c>
      <c r="J79" s="950">
        <v>0</v>
      </c>
      <c r="K79" s="716"/>
    </row>
    <row r="80" spans="1:15" x14ac:dyDescent="0.2">
      <c r="A80" s="708">
        <v>-110</v>
      </c>
      <c r="B80" s="760" t="str">
        <f>IF(COUNT(C45,C47)=2,IF(C45&lt;C47,B45,B47),"")</f>
        <v>Andres Veski</v>
      </c>
      <c r="C80" s="763">
        <f>IF(B80="-",0,IF(B78="-",13,""))</f>
        <v>13</v>
      </c>
      <c r="D80" s="751"/>
      <c r="E80" s="732">
        <v>149</v>
      </c>
      <c r="F80" s="748" t="str">
        <f>IF(COUNT(F78,F82)=2,IF(F78&gt;F82,E78,E82),"")</f>
        <v>Tõnu Piik</v>
      </c>
      <c r="G80" s="576">
        <v>13</v>
      </c>
      <c r="H80" s="716"/>
      <c r="I80" s="733"/>
      <c r="J80" s="761" t="s">
        <v>529</v>
      </c>
      <c r="K80" s="748" t="str">
        <f>IF(COUNT(K73,K87)=2,IF(K73&gt;K87,J73,J87),"")</f>
        <v>Elmo Lageda</v>
      </c>
      <c r="L80" s="557">
        <v>13</v>
      </c>
    </row>
    <row r="81" spans="1:15" x14ac:dyDescent="0.2">
      <c r="C81" s="717">
        <v>-119</v>
      </c>
      <c r="D81" s="746" t="str">
        <f>IF(COUNT(E25,E29)=2,IF(E25&lt;E29,C25,C29),"")</f>
        <v>Kenneth Muusikus</v>
      </c>
      <c r="E81" s="576">
        <v>13</v>
      </c>
      <c r="F81" s="707"/>
      <c r="G81" s="716"/>
      <c r="H81" s="716"/>
      <c r="I81" s="724"/>
      <c r="J81" s="654"/>
      <c r="K81" s="712"/>
    </row>
    <row r="82" spans="1:15" x14ac:dyDescent="0.2">
      <c r="A82" s="708">
        <v>-111</v>
      </c>
      <c r="B82" s="712" t="str">
        <f>IF(COUNT(C49,C51)=2,IF(C49&lt;C51,B49,B51),"")</f>
        <v>Urmas Randlaine</v>
      </c>
      <c r="C82" s="575">
        <f>IF(B82="-",0,IF(B84="-",13,""))</f>
        <v>13</v>
      </c>
      <c r="D82" s="736">
        <v>134</v>
      </c>
      <c r="E82" s="748" t="str">
        <f>IF(COUNT(E81,E83)=2,IF(E81&gt;E83,D81,C83),"")</f>
        <v>Kenneth Muusikus</v>
      </c>
      <c r="F82" s="575">
        <v>3</v>
      </c>
      <c r="G82" s="730">
        <v>173</v>
      </c>
      <c r="H82" s="748" t="str">
        <f>IF(COUNT(H78,H86)=2,IF(H78&gt;H86,G78,G86),"")</f>
        <v>Tõnu Piik</v>
      </c>
      <c r="I82" s="576">
        <v>12</v>
      </c>
      <c r="J82" s="654"/>
      <c r="K82" s="712"/>
      <c r="L82" s="708" t="s">
        <v>528</v>
      </c>
      <c r="M82" s="34" t="str">
        <f>IF(COUNT(I75,I82)=2,IF(I75&lt;I82,H75,H82),"")</f>
        <v>Tõnu Piik</v>
      </c>
      <c r="N82" s="557">
        <v>13</v>
      </c>
      <c r="O82" s="712"/>
    </row>
    <row r="83" spans="1:15" ht="13.5" thickBot="1" x14ac:dyDescent="0.25">
      <c r="A83" s="708"/>
      <c r="B83" s="731">
        <v>126</v>
      </c>
      <c r="C83" s="560" t="str">
        <f>IF(COUNT(C82,C84)=2,IF(C82&gt;C84,B82,B84),"")</f>
        <v>Urmas Randlaine</v>
      </c>
      <c r="D83" s="718"/>
      <c r="E83" s="562">
        <v>8</v>
      </c>
      <c r="H83" s="733"/>
      <c r="J83" s="654"/>
      <c r="K83" s="712"/>
      <c r="M83" s="714"/>
      <c r="N83" s="750"/>
      <c r="O83" s="726" t="str">
        <f>IF(COUNT(N82,N84)=2,IF(N82&gt;N84,M82,M84),"")</f>
        <v>Tõnu Piik</v>
      </c>
    </row>
    <row r="84" spans="1:15" x14ac:dyDescent="0.2">
      <c r="A84" s="708">
        <v>-112</v>
      </c>
      <c r="B84" s="710" t="str">
        <f>IF(COUNT(C53,C55)=2,IF(C53&lt;C55,B53,B55),"")</f>
        <v>-</v>
      </c>
      <c r="C84" s="763">
        <f>IF(B84="-",0,IF(B82="-",13,""))</f>
        <v>0</v>
      </c>
      <c r="D84" s="751"/>
      <c r="E84" s="52">
        <v>-143</v>
      </c>
      <c r="F84" s="707" t="str">
        <f>IF(COUNT(F44,F52)=2,IF(F44&lt;F52,E44,E52),"")</f>
        <v>Karla Purgats</v>
      </c>
      <c r="G84" s="576">
        <v>6</v>
      </c>
      <c r="H84" s="724"/>
      <c r="I84" s="716"/>
      <c r="J84" s="654"/>
      <c r="K84" s="712"/>
      <c r="L84" s="708" t="s">
        <v>530</v>
      </c>
      <c r="M84" s="718" t="str">
        <f>IF(COUNT(I91,I98)=2,IF(I91&lt;I98,H91,H98),"")</f>
        <v>Henri Mitt</v>
      </c>
      <c r="N84" s="577">
        <v>2</v>
      </c>
      <c r="O84" s="737" t="s">
        <v>390</v>
      </c>
    </row>
    <row r="85" spans="1:15" x14ac:dyDescent="0.2">
      <c r="A85" s="708"/>
      <c r="B85" s="712"/>
      <c r="C85" s="717">
        <v>-118</v>
      </c>
      <c r="D85" s="34" t="str">
        <f>IF(COUNT(E17,E21)=2,IF(E17&lt;E21,C17,C21),"")</f>
        <v>Boriss Klubov</v>
      </c>
      <c r="E85" s="557">
        <v>13</v>
      </c>
      <c r="F85" s="714"/>
      <c r="G85" s="564"/>
      <c r="H85" s="724"/>
      <c r="I85" s="716"/>
      <c r="J85" s="654"/>
      <c r="K85" s="712"/>
      <c r="O85" s="712"/>
    </row>
    <row r="86" spans="1:15" ht="13.5" thickBot="1" x14ac:dyDescent="0.25">
      <c r="A86" s="708">
        <v>-113</v>
      </c>
      <c r="B86" s="34" t="str">
        <f>IF(COUNT(C57,C59)=2,IF(C57&lt;C59,B57,B59),"")</f>
        <v>Urmas Jõeäär</v>
      </c>
      <c r="C86" s="575">
        <v>10</v>
      </c>
      <c r="D86" s="759">
        <v>135</v>
      </c>
      <c r="E86" s="560" t="str">
        <f>IF(COUNT(E85,E87)=2,IF(E85&gt;E87,D85,C87),"")</f>
        <v>Boriss Klubov</v>
      </c>
      <c r="F86" s="575">
        <v>5</v>
      </c>
      <c r="G86" s="748" t="str">
        <f>IF(COUNT(G84,G88)=2,IF(G84&gt;G88,F84,F88),"")</f>
        <v>Jaan Sepp</v>
      </c>
      <c r="H86" s="562">
        <v>10</v>
      </c>
      <c r="I86" s="716"/>
      <c r="J86" s="734"/>
      <c r="K86" s="712"/>
      <c r="M86" s="712"/>
      <c r="O86" s="567" t="str">
        <f>IF(COUNT(N82,N84)=2,IF(N82&lt;N84,M82,M84),"")</f>
        <v>Henri Mitt</v>
      </c>
    </row>
    <row r="87" spans="1:15" x14ac:dyDescent="0.2">
      <c r="A87" s="708"/>
      <c r="B87" s="731">
        <v>127</v>
      </c>
      <c r="C87" s="560" t="str">
        <f>IF(COUNT(C86,C88)=2,IF(C86&gt;C88,B86,B88),"")</f>
        <v>Meelis Luud</v>
      </c>
      <c r="D87" s="718"/>
      <c r="E87" s="747">
        <v>5</v>
      </c>
      <c r="F87" s="730">
        <v>164</v>
      </c>
      <c r="G87" s="565"/>
      <c r="H87" s="712"/>
      <c r="I87" s="735" t="s">
        <v>539</v>
      </c>
      <c r="J87" s="748" t="str">
        <f>IF(COUNT(J79,J95)=2,IF(J79&gt;J95,I79,I95),"")</f>
        <v>Elmo Lageda</v>
      </c>
      <c r="K87" s="562">
        <v>13</v>
      </c>
      <c r="N87" s="712"/>
      <c r="O87" s="737" t="s">
        <v>391</v>
      </c>
    </row>
    <row r="88" spans="1:15" x14ac:dyDescent="0.2">
      <c r="A88" s="708">
        <v>-114</v>
      </c>
      <c r="B88" s="710" t="str">
        <f>IF(COUNT(C61,C63)=2,IF(C61&lt;C63,B61,B63),"")</f>
        <v>Meelis Luud</v>
      </c>
      <c r="C88" s="763">
        <v>13</v>
      </c>
      <c r="D88" s="751"/>
      <c r="E88" s="732">
        <v>150</v>
      </c>
      <c r="F88" s="748" t="str">
        <f>IF(COUNT(F86,F90)=2,IF(F86&gt;F90,E86,E90),"")</f>
        <v>Jaan Sepp</v>
      </c>
      <c r="G88" s="557">
        <v>13</v>
      </c>
      <c r="H88" s="712"/>
      <c r="I88" s="716"/>
      <c r="J88" s="724"/>
      <c r="K88" s="712"/>
      <c r="N88" s="712"/>
      <c r="O88" s="737"/>
    </row>
    <row r="89" spans="1:15" x14ac:dyDescent="0.2">
      <c r="A89" s="708"/>
      <c r="B89" s="717"/>
      <c r="C89" s="717">
        <v>-117</v>
      </c>
      <c r="D89" s="712" t="str">
        <f>IF(COUNT(E9,E13)=2,IF(E9&lt;E13,C9,C13),"")</f>
        <v>Jaan Sepp</v>
      </c>
      <c r="E89" s="576">
        <v>13</v>
      </c>
      <c r="F89" s="707"/>
      <c r="G89" s="712"/>
      <c r="H89" s="712"/>
      <c r="I89" s="715"/>
      <c r="J89" s="724"/>
      <c r="K89" s="712"/>
      <c r="L89" s="717">
        <v>173</v>
      </c>
      <c r="M89" s="34" t="str">
        <f>IF(COUNT(H78,H86)=2,IF(H78&lt;H86,G78,G86),"")</f>
        <v>Jaan Sepp</v>
      </c>
      <c r="N89" s="557">
        <v>13</v>
      </c>
      <c r="O89" s="712"/>
    </row>
    <row r="90" spans="1:15" ht="13.5" thickBot="1" x14ac:dyDescent="0.25">
      <c r="A90" s="708">
        <v>-115</v>
      </c>
      <c r="B90" s="712" t="str">
        <f>IF(COUNT(C65,C67)=2,IF(C65&lt;C67,B65,B67),"")</f>
        <v>Enn Tokman</v>
      </c>
      <c r="C90" s="575">
        <f>IF(B90="-",0,IF(B92="-",13,""))</f>
        <v>13</v>
      </c>
      <c r="D90" s="759">
        <v>136</v>
      </c>
      <c r="E90" s="748" t="str">
        <f>IF(COUNT(E89,E91)=2,IF(E89&gt;E91,D89,C91),"")</f>
        <v>Jaan Sepp</v>
      </c>
      <c r="F90" s="575">
        <v>13</v>
      </c>
      <c r="I90" s="716"/>
      <c r="J90" s="724"/>
      <c r="K90" s="712"/>
      <c r="M90" s="714"/>
      <c r="N90" s="750"/>
      <c r="O90" s="726" t="str">
        <f>IF(COUNT(N89,N91)=2,IF(N89&gt;N91,M89,M91),"")</f>
        <v>Jaan Sepp</v>
      </c>
    </row>
    <row r="91" spans="1:15" x14ac:dyDescent="0.2">
      <c r="A91" s="708"/>
      <c r="B91" s="731">
        <v>128</v>
      </c>
      <c r="C91" s="560" t="str">
        <f>IF(COUNT(C90,C92)=2,IF(C90&gt;C92,B90,B92),"")</f>
        <v>Enn Tokman</v>
      </c>
      <c r="D91" s="718"/>
      <c r="E91" s="562">
        <v>10</v>
      </c>
      <c r="G91" s="737">
        <v>-158</v>
      </c>
      <c r="H91" s="710" t="str">
        <f>IF(COUNT(G48,G64)=2,IF(G48&lt;G64,F48,F64),"")</f>
        <v>Elmo Lageda</v>
      </c>
      <c r="I91" s="575">
        <v>13</v>
      </c>
      <c r="J91" s="724"/>
      <c r="K91" s="712"/>
      <c r="L91" s="717">
        <v>174</v>
      </c>
      <c r="M91" s="718" t="str">
        <f>IF(COUNT(H94,H102)=2,IF(H94&lt;H102,G94,G102),"")</f>
        <v>Andrei Grintšak</v>
      </c>
      <c r="N91" s="577">
        <v>1</v>
      </c>
      <c r="O91" s="737" t="s">
        <v>392</v>
      </c>
    </row>
    <row r="92" spans="1:15" x14ac:dyDescent="0.2">
      <c r="A92" s="717">
        <v>-116</v>
      </c>
      <c r="B92" s="710" t="str">
        <f>IF(COUNT(C69,C71)=2,IF(C69&lt;C71,B69,B71),"")</f>
        <v>-</v>
      </c>
      <c r="C92" s="763">
        <f>IF(B92="-",0,IF(B90="-",13,""))</f>
        <v>0</v>
      </c>
      <c r="D92" s="751"/>
      <c r="E92" s="52">
        <v>-142</v>
      </c>
      <c r="F92" s="707" t="str">
        <f>IF(COUNT(F27,F35)=2,IF(F27&lt;F35,E27,E35),"")</f>
        <v>Tarmo Bombe</v>
      </c>
      <c r="G92" s="557">
        <v>2</v>
      </c>
      <c r="H92" s="714"/>
      <c r="I92" s="712"/>
      <c r="J92" s="724"/>
      <c r="K92" s="712"/>
      <c r="O92" s="712"/>
    </row>
    <row r="93" spans="1:15" ht="13.5" thickBot="1" x14ac:dyDescent="0.25">
      <c r="A93" s="708"/>
      <c r="C93" s="717">
        <v>-124</v>
      </c>
      <c r="D93" s="34" t="str">
        <f>IF(COUNT(E66,E70)=2,IF(E66&lt;E70,C66,C70),"")</f>
        <v>Andrei Grintšak</v>
      </c>
      <c r="E93" s="557">
        <v>13</v>
      </c>
      <c r="F93" s="714"/>
      <c r="G93" s="55"/>
      <c r="H93" s="715"/>
      <c r="I93" s="712"/>
      <c r="J93" s="724"/>
      <c r="K93" s="712"/>
      <c r="O93" s="567" t="str">
        <f>IF(COUNT(N89,N91)=2,IF(N89&lt;N91,M89,M91),"")</f>
        <v>Andrei Grintšak</v>
      </c>
    </row>
    <row r="94" spans="1:15" x14ac:dyDescent="0.2">
      <c r="A94" s="708">
        <v>-101</v>
      </c>
      <c r="B94" s="34" t="str">
        <f>IF(COUNT(C8,C10)=2,IF(C8&lt;C10,B8,B10),"")</f>
        <v>-</v>
      </c>
      <c r="C94" s="575">
        <f>IF(B94="-",0,IF(B96="-",13,""))</f>
        <v>0</v>
      </c>
      <c r="D94" s="759">
        <v>137</v>
      </c>
      <c r="E94" s="560" t="str">
        <f>IF(COUNT(E93,E95)=2,IF(E93&gt;E95,D93,C95),"")</f>
        <v>Andrei Grintšak</v>
      </c>
      <c r="F94" s="575">
        <v>13</v>
      </c>
      <c r="G94" s="560" t="str">
        <f>IF(COUNT(G92,G96)=2,IF(G92&gt;G96,F92,F96),"")</f>
        <v>Andrei Grintšak</v>
      </c>
      <c r="H94" s="576">
        <v>11</v>
      </c>
      <c r="I94" s="712"/>
      <c r="J94" s="724"/>
      <c r="K94" s="719"/>
      <c r="N94" s="712"/>
      <c r="O94" s="737" t="s">
        <v>393</v>
      </c>
    </row>
    <row r="95" spans="1:15" x14ac:dyDescent="0.2">
      <c r="A95" s="708"/>
      <c r="B95" s="731">
        <v>129</v>
      </c>
      <c r="C95" s="560" t="str">
        <f>IF(COUNT(C94,C96)=2,IF(C94&gt;C96,B94,B96),"")</f>
        <v>Einar Juhkam</v>
      </c>
      <c r="D95" s="718"/>
      <c r="E95" s="747">
        <v>7</v>
      </c>
      <c r="F95" s="730">
        <v>165</v>
      </c>
      <c r="G95" s="749"/>
      <c r="H95" s="735" t="s">
        <v>530</v>
      </c>
      <c r="I95" s="560" t="str">
        <f>IF(COUNT(I91,I98)=2,IF(I91&gt;I98,H91,H98),"")</f>
        <v>Elmo Lageda</v>
      </c>
      <c r="J95" s="562">
        <v>13</v>
      </c>
    </row>
    <row r="96" spans="1:15" x14ac:dyDescent="0.2">
      <c r="A96" s="708">
        <v>-102</v>
      </c>
      <c r="B96" s="710" t="str">
        <f>IF(COUNT(C12,C14)=2,IF(C12&lt;C14,B12,B14),"")</f>
        <v>Einar Juhkam</v>
      </c>
      <c r="C96" s="763">
        <f>IF(B96="-",0,IF(B94="-",13,""))</f>
        <v>13</v>
      </c>
      <c r="D96" s="762"/>
      <c r="E96" s="732">
        <v>151</v>
      </c>
      <c r="F96" s="748" t="str">
        <f>IF(COUNT(F94,F98)=2,IF(F94&gt;F98,E94,E98),"")</f>
        <v>Andrei Grintšak</v>
      </c>
      <c r="G96" s="576">
        <v>13</v>
      </c>
      <c r="H96" s="716"/>
      <c r="I96" s="733"/>
    </row>
    <row r="97" spans="1:15" x14ac:dyDescent="0.2">
      <c r="C97" s="717">
        <v>-123</v>
      </c>
      <c r="D97" s="710" t="str">
        <f>IF(COUNT(E58,E62)=2,IF(E58&lt;E62,C58,C62),"")</f>
        <v>Ülo Piik</v>
      </c>
      <c r="E97" s="576">
        <v>13</v>
      </c>
      <c r="F97" s="707"/>
      <c r="G97" s="716"/>
      <c r="H97" s="716"/>
      <c r="I97" s="724"/>
      <c r="J97" s="706">
        <v>163</v>
      </c>
      <c r="K97" s="34" t="str">
        <f>IF(COUNT(G76,G80)=2,IF(G76&lt;G80,F76,F80),"")</f>
        <v>Jaan Saar</v>
      </c>
      <c r="L97" s="575">
        <v>10</v>
      </c>
      <c r="M97" s="707"/>
    </row>
    <row r="98" spans="1:15" x14ac:dyDescent="0.2">
      <c r="A98" s="708">
        <v>-103</v>
      </c>
      <c r="B98" s="712" t="str">
        <f>IF(COUNT(C16,C18)=2,IF(C16&lt;C18,B16,B18),"")</f>
        <v>Melika Lehtla</v>
      </c>
      <c r="C98" s="575">
        <v>13</v>
      </c>
      <c r="D98" s="730">
        <v>138</v>
      </c>
      <c r="E98" s="748" t="str">
        <f>IF(COUNT(E97,E99)=2,IF(E97&gt;E99,D97,C99),"")</f>
        <v>Ülo Piik</v>
      </c>
      <c r="F98" s="575">
        <v>10</v>
      </c>
      <c r="G98" s="730">
        <v>174</v>
      </c>
      <c r="H98" s="748" t="str">
        <f>IF(COUNT(H94,H102)=2,IF(H94&gt;H102,G94,G102),"")</f>
        <v>Henri Mitt</v>
      </c>
      <c r="I98" s="562">
        <v>6</v>
      </c>
      <c r="J98" s="708"/>
      <c r="K98" s="739" t="s">
        <v>140</v>
      </c>
      <c r="L98" s="560" t="str">
        <f>IF(COUNT(L97,L99)=2,IF(L97&gt;L99,K97,K99),"")</f>
        <v>Karla Purgats</v>
      </c>
      <c r="M98" s="710"/>
      <c r="N98" s="557">
        <v>7</v>
      </c>
    </row>
    <row r="99" spans="1:15" x14ac:dyDescent="0.2">
      <c r="A99" s="708"/>
      <c r="B99" s="731">
        <v>130</v>
      </c>
      <c r="C99" s="560" t="str">
        <f>IF(COUNT(C98,C100)=2,IF(C98&gt;C100,B98,B100),"")</f>
        <v>Melika Lehtla</v>
      </c>
      <c r="D99" s="718"/>
      <c r="E99" s="562">
        <v>5</v>
      </c>
      <c r="H99" s="733"/>
      <c r="I99" s="712"/>
      <c r="J99" s="708">
        <v>164</v>
      </c>
      <c r="K99" s="718" t="str">
        <f>IF(COUNT(G84,G88)=2,IF(G84&lt;G88,F84,F88),"")</f>
        <v>Karla Purgats</v>
      </c>
      <c r="L99" s="763">
        <v>13</v>
      </c>
      <c r="M99" s="738"/>
      <c r="N99" s="55"/>
    </row>
    <row r="100" spans="1:15" ht="13.5" thickBot="1" x14ac:dyDescent="0.25">
      <c r="A100" s="708">
        <v>-104</v>
      </c>
      <c r="B100" s="710" t="str">
        <f>IF(COUNT(C20,C22)=2,IF(C20&lt;C22,B20,B22),"")</f>
        <v>Illar Tõnurist</v>
      </c>
      <c r="C100" s="763">
        <v>10</v>
      </c>
      <c r="D100" s="751"/>
      <c r="E100" s="52">
        <v>-141</v>
      </c>
      <c r="F100" s="707" t="str">
        <f>IF(COUNT(F11,F19)=2,IF(F11&lt;F19,E11,E19),"")</f>
        <v>Janek Tarto</v>
      </c>
      <c r="G100" s="576">
        <v>11</v>
      </c>
      <c r="H100" s="724"/>
      <c r="I100" s="712"/>
      <c r="J100" s="708"/>
      <c r="L100" s="712"/>
      <c r="M100" s="716"/>
      <c r="N100" s="750"/>
      <c r="O100" s="723" t="str">
        <f>IF(COUNT(N98,N102)=2,IF(N98&gt;N102,L98,L102),"")</f>
        <v>Tarmo Bombe</v>
      </c>
    </row>
    <row r="101" spans="1:15" x14ac:dyDescent="0.2">
      <c r="A101" s="708"/>
      <c r="B101" s="712"/>
      <c r="C101" s="717">
        <v>-122</v>
      </c>
      <c r="D101" s="34" t="str">
        <f>IF(COUNT(E50,E54)=2,IF(E50&lt;E54,C50,C54),"")</f>
        <v>Oksana Sažina</v>
      </c>
      <c r="E101" s="557">
        <v>11</v>
      </c>
      <c r="F101" s="738"/>
      <c r="G101" s="564"/>
      <c r="H101" s="724"/>
      <c r="I101" s="712"/>
      <c r="J101" s="708">
        <v>165</v>
      </c>
      <c r="K101" s="34" t="str">
        <f>IF(COUNT(G92,G96)=2,IF(G92&lt;G96,F92,F96),"")</f>
        <v>Tarmo Bombe</v>
      </c>
      <c r="L101" s="575">
        <v>13</v>
      </c>
      <c r="M101" s="715"/>
      <c r="N101" s="568"/>
      <c r="O101" s="725" t="s">
        <v>399</v>
      </c>
    </row>
    <row r="102" spans="1:15" x14ac:dyDescent="0.2">
      <c r="A102" s="708">
        <v>-105</v>
      </c>
      <c r="B102" s="34" t="str">
        <f>IF(COUNT(C24,C26)=2,IF(C24&lt;C26,B24,B26),"")</f>
        <v>-</v>
      </c>
      <c r="C102" s="575">
        <f>IF(B102="-",0,IF(B104="-",13,""))</f>
        <v>0</v>
      </c>
      <c r="D102" s="759">
        <v>139</v>
      </c>
      <c r="E102" s="560" t="str">
        <f>IF(COUNT(E101,E103)=2,IF(E101&gt;E103,D101,C103),"")</f>
        <v>Vladimir Ogneštšikov</v>
      </c>
      <c r="F102" s="575">
        <v>9</v>
      </c>
      <c r="G102" s="748" t="str">
        <f>IF(COUNT(G100,G104)=2,IF(G100&gt;G104,F100,F104),"")</f>
        <v>Henri Mitt</v>
      </c>
      <c r="H102" s="562">
        <v>13</v>
      </c>
      <c r="I102" s="712"/>
      <c r="J102" s="708"/>
      <c r="K102" s="739" t="s">
        <v>141</v>
      </c>
      <c r="L102" s="560" t="str">
        <f>IF(COUNT(L101,L103)=2,IF(L101&gt;L103,K101,K103),"")</f>
        <v>Tarmo Bombe</v>
      </c>
      <c r="M102" s="718"/>
      <c r="N102" s="562">
        <v>13</v>
      </c>
    </row>
    <row r="103" spans="1:15" ht="13.5" thickBot="1" x14ac:dyDescent="0.25">
      <c r="A103" s="708"/>
      <c r="B103" s="731">
        <v>131</v>
      </c>
      <c r="C103" s="560" t="str">
        <f>IF(COUNT(C102,C104)=2,IF(C102&gt;C104,B102,B104),"")</f>
        <v>Vladimir Ogneštšikov</v>
      </c>
      <c r="D103" s="718"/>
      <c r="E103" s="747">
        <v>13</v>
      </c>
      <c r="F103" s="730">
        <v>166</v>
      </c>
      <c r="G103" s="565"/>
      <c r="H103" s="712"/>
      <c r="I103" s="712"/>
      <c r="J103" s="708">
        <v>166</v>
      </c>
      <c r="K103" s="718" t="str">
        <f>IF(COUNT(G100,G104)=2,IF(G100&lt;G104,F100,F104),"")</f>
        <v>Janek Tarto</v>
      </c>
      <c r="L103" s="763">
        <v>11</v>
      </c>
      <c r="M103" s="707"/>
      <c r="N103" s="712"/>
      <c r="O103" s="567" t="str">
        <f>IF(COUNT(N98,N102)=2,IF(N98&lt;N102,L98,L102),"")</f>
        <v>Karla Purgats</v>
      </c>
    </row>
    <row r="104" spans="1:15" x14ac:dyDescent="0.2">
      <c r="A104" s="708">
        <v>-106</v>
      </c>
      <c r="B104" s="710" t="str">
        <f>IF(COUNT(C28,C30)=2,IF(C28&lt;C30,B28,B30),"")</f>
        <v>Vladimir Ogneštšikov</v>
      </c>
      <c r="C104" s="763">
        <f>IF(B104="-",0,IF(B102="-",13,""))</f>
        <v>13</v>
      </c>
      <c r="D104" s="751"/>
      <c r="E104" s="732">
        <v>152</v>
      </c>
      <c r="F104" s="748" t="str">
        <f>IF(COUNT(F102,F106)=2,IF(F102&gt;F106,E102,E106),"")</f>
        <v>Henri Mitt</v>
      </c>
      <c r="G104" s="557">
        <v>13</v>
      </c>
      <c r="H104" s="712"/>
      <c r="J104" s="712"/>
      <c r="N104" s="712"/>
      <c r="O104" s="725" t="s">
        <v>402</v>
      </c>
    </row>
    <row r="105" spans="1:15" x14ac:dyDescent="0.2">
      <c r="A105" s="708"/>
      <c r="B105" s="712"/>
      <c r="C105" s="717">
        <v>-121</v>
      </c>
      <c r="D105" s="710" t="str">
        <f>IF(COUNT(E42,E46)=2,IF(E42&lt;E46,C42,C46),"")</f>
        <v>Mait Metsla</v>
      </c>
      <c r="E105" s="576">
        <v>11</v>
      </c>
      <c r="F105" s="707"/>
      <c r="G105" s="719"/>
      <c r="H105" s="712"/>
      <c r="J105" s="712"/>
      <c r="L105" s="708" t="s">
        <v>140</v>
      </c>
      <c r="M105" s="34" t="str">
        <f>IF(COUNT(L97,L99)=2,IF(L97&lt;L99,K97,K99),"")</f>
        <v>Jaan Saar</v>
      </c>
      <c r="N105" s="557">
        <v>13</v>
      </c>
      <c r="O105" s="712"/>
    </row>
    <row r="106" spans="1:15" ht="13.5" thickBot="1" x14ac:dyDescent="0.25">
      <c r="A106" s="708">
        <v>-107</v>
      </c>
      <c r="B106" s="712" t="str">
        <f>IF(COUNT(C32,C34)=2,IF(C32&lt;C34,B32,B34),"")</f>
        <v>Henri Mitt</v>
      </c>
      <c r="C106" s="575">
        <f>IF(B106="-",0,IF(B108="-",13,""))</f>
        <v>13</v>
      </c>
      <c r="D106" s="730">
        <v>140</v>
      </c>
      <c r="E106" s="748" t="str">
        <f>IF(COUNT(E105,E107)=2,IF(E105&gt;E107,D105,C107),"")</f>
        <v>Henri Mitt</v>
      </c>
      <c r="F106" s="575">
        <v>13</v>
      </c>
      <c r="G106" s="737"/>
      <c r="H106" s="712"/>
      <c r="I106" s="707"/>
      <c r="J106" s="712"/>
      <c r="M106" s="714"/>
      <c r="N106" s="750"/>
      <c r="O106" s="726" t="str">
        <f>IF(COUNT(N105,N107)=2,IF(N105&gt;N107,M105,M107),"")</f>
        <v>Jaan Saar</v>
      </c>
    </row>
    <row r="107" spans="1:15" x14ac:dyDescent="0.2">
      <c r="A107" s="708"/>
      <c r="B107" s="731">
        <v>132</v>
      </c>
      <c r="C107" s="560" t="str">
        <f>IF(COUNT(C106,C108)=2,IF(C106&gt;C108,B106,B108),"")</f>
        <v>Henri Mitt</v>
      </c>
      <c r="D107" s="718"/>
      <c r="E107" s="562">
        <v>13</v>
      </c>
      <c r="G107" s="712"/>
      <c r="H107" s="712"/>
      <c r="J107" s="712"/>
      <c r="L107" s="708" t="s">
        <v>141</v>
      </c>
      <c r="M107" s="718" t="str">
        <f>IF(COUNT(L101,L103)=2,IF(L101&lt;L103,K101,K103),"")</f>
        <v>Janek Tarto</v>
      </c>
      <c r="N107" s="577">
        <v>8</v>
      </c>
      <c r="O107" s="737" t="s">
        <v>404</v>
      </c>
    </row>
    <row r="108" spans="1:15" x14ac:dyDescent="0.2">
      <c r="A108" s="717">
        <v>-108</v>
      </c>
      <c r="B108" s="710" t="str">
        <f>IF(COUNT(C36,C38)=2,IF(C36&lt;C38,B36,B38),"")</f>
        <v>-</v>
      </c>
      <c r="C108" s="763">
        <f>IF(B108="-",0,IF(B106="-",13,""))</f>
        <v>0</v>
      </c>
      <c r="D108" s="751"/>
      <c r="E108" s="719"/>
      <c r="F108" s="707"/>
      <c r="J108" s="712"/>
      <c r="K108" s="717"/>
      <c r="O108" s="712"/>
    </row>
    <row r="109" spans="1:15" ht="13.5" thickBot="1" x14ac:dyDescent="0.25">
      <c r="B109" s="712"/>
      <c r="C109" s="712"/>
      <c r="D109" s="719"/>
      <c r="E109" s="719"/>
      <c r="F109" s="707"/>
      <c r="G109" s="712"/>
      <c r="J109" s="712"/>
      <c r="K109" s="717"/>
      <c r="M109" s="712"/>
      <c r="O109" s="567" t="str">
        <f>IF(COUNT(N105,N107)=2,IF(N105&lt;N107,M105,M107),"")</f>
        <v>Janek Tarto</v>
      </c>
    </row>
    <row r="110" spans="1:15" x14ac:dyDescent="0.2">
      <c r="K110" s="717"/>
      <c r="N110" s="712"/>
      <c r="O110" s="737" t="s">
        <v>405</v>
      </c>
    </row>
    <row r="112" spans="1:15" x14ac:dyDescent="0.2">
      <c r="A112" s="729" t="s">
        <v>531</v>
      </c>
      <c r="B112" s="712"/>
      <c r="C112" s="712"/>
      <c r="E112" s="712"/>
      <c r="F112" s="712"/>
      <c r="J112" s="706">
        <v>149</v>
      </c>
      <c r="K112" s="34" t="str">
        <f>IF(COUNT(F78,F82)=2,IF(F79&lt;F82,E78,E82),"")</f>
        <v>Kenneth Muusikus</v>
      </c>
      <c r="L112" s="575">
        <v>13</v>
      </c>
      <c r="M112" s="707"/>
    </row>
    <row r="113" spans="1:15" x14ac:dyDescent="0.2">
      <c r="J113" s="708"/>
      <c r="K113" s="739" t="s">
        <v>142</v>
      </c>
      <c r="L113" s="560" t="str">
        <f>IF(COUNT(L112,L114)=2,IF(L112&gt;L114,K112,K114),"")</f>
        <v>Kenneth Muusikus</v>
      </c>
      <c r="M113" s="710"/>
      <c r="N113" s="557">
        <v>11</v>
      </c>
    </row>
    <row r="114" spans="1:15" x14ac:dyDescent="0.2">
      <c r="J114" s="708">
        <v>150</v>
      </c>
      <c r="K114" s="718" t="str">
        <f>IF(COUNT(F86,F90)=2,IF(F86&lt;F90,E86,E90),"")</f>
        <v>Boriss Klubov</v>
      </c>
      <c r="L114" s="763">
        <v>12</v>
      </c>
      <c r="M114" s="738"/>
      <c r="N114" s="55"/>
    </row>
    <row r="115" spans="1:15" ht="13.5" thickBot="1" x14ac:dyDescent="0.25">
      <c r="J115" s="708"/>
      <c r="L115" s="712"/>
      <c r="M115" s="716"/>
      <c r="N115" s="750"/>
      <c r="O115" s="723" t="str">
        <f>IF(COUNT(N113,N117)=2,IF(N113&gt;N117,L113,L117),"")</f>
        <v>Ülo Piik</v>
      </c>
    </row>
    <row r="116" spans="1:15" x14ac:dyDescent="0.2">
      <c r="J116" s="708">
        <v>151</v>
      </c>
      <c r="K116" s="34" t="str">
        <f>IF(COUNT(F94,F98)=2,IF(F95&lt;F98,E94,E98),"")</f>
        <v>Ülo Piik</v>
      </c>
      <c r="L116" s="575">
        <v>13</v>
      </c>
      <c r="M116" s="715"/>
      <c r="N116" s="568"/>
      <c r="O116" s="725" t="s">
        <v>406</v>
      </c>
    </row>
    <row r="117" spans="1:15" x14ac:dyDescent="0.2">
      <c r="J117" s="708"/>
      <c r="K117" s="739" t="s">
        <v>143</v>
      </c>
      <c r="L117" s="560" t="str">
        <f>IF(COUNT(L116,L118)=2,IF(L116&gt;L118,K116,K118),"")</f>
        <v>Ülo Piik</v>
      </c>
      <c r="M117" s="718"/>
      <c r="N117" s="562">
        <v>13</v>
      </c>
    </row>
    <row r="118" spans="1:15" ht="13.5" thickBot="1" x14ac:dyDescent="0.25">
      <c r="J118" s="708">
        <v>152</v>
      </c>
      <c r="K118" s="718" t="str">
        <f>IF(COUNT(F102,F106)=2,IF(F102&lt;F106,E102,E106),"")</f>
        <v>Vladimir Ogneštšikov</v>
      </c>
      <c r="L118" s="763">
        <v>11</v>
      </c>
      <c r="M118" s="707"/>
      <c r="N118" s="712"/>
      <c r="O118" s="567" t="str">
        <f>IF(COUNT(N113,N117)=2,IF(N113&lt;N117,L113,L117),"")</f>
        <v>Kenneth Muusikus</v>
      </c>
    </row>
    <row r="119" spans="1:15" x14ac:dyDescent="0.2">
      <c r="K119" s="717"/>
      <c r="N119" s="712"/>
      <c r="O119" s="725" t="s">
        <v>407</v>
      </c>
    </row>
    <row r="120" spans="1:15" x14ac:dyDescent="0.2">
      <c r="K120" s="717"/>
      <c r="L120" s="708" t="s">
        <v>142</v>
      </c>
      <c r="M120" s="34" t="str">
        <f>IF(COUNT(L112,L114)=2,IF(L112&lt;L114,K112,K114),"")</f>
        <v>Boriss Klubov</v>
      </c>
      <c r="N120" s="557">
        <v>13</v>
      </c>
      <c r="O120" s="712"/>
    </row>
    <row r="121" spans="1:15" ht="13.5" thickBot="1" x14ac:dyDescent="0.25">
      <c r="K121" s="717"/>
      <c r="M121" s="714"/>
      <c r="N121" s="750"/>
      <c r="O121" s="726" t="str">
        <f>IF(COUNT(N120,N122)=2,IF(N120&gt;N122,M120,M122),"")</f>
        <v>Boriss Klubov</v>
      </c>
    </row>
    <row r="122" spans="1:15" x14ac:dyDescent="0.2">
      <c r="K122" s="717"/>
      <c r="L122" s="708" t="s">
        <v>143</v>
      </c>
      <c r="M122" s="718" t="str">
        <f>IF(COUNT(L116,L118)=2,IF(L116&lt;L118,K116,K118),"")</f>
        <v>Vladimir Ogneštšikov</v>
      </c>
      <c r="N122" s="951">
        <v>8</v>
      </c>
      <c r="O122" s="737" t="s">
        <v>408</v>
      </c>
    </row>
    <row r="123" spans="1:15" x14ac:dyDescent="0.2">
      <c r="K123" s="717"/>
      <c r="O123" s="712"/>
    </row>
    <row r="124" spans="1:15" ht="13.5" thickBot="1" x14ac:dyDescent="0.25">
      <c r="K124" s="717"/>
      <c r="M124" s="712"/>
      <c r="O124" s="567" t="str">
        <f>IF(COUNT(N120,N122)=2,IF(N120&lt;N122,M120,M122),"")</f>
        <v>Vladimir Ogneštšikov</v>
      </c>
    </row>
    <row r="125" spans="1:15" x14ac:dyDescent="0.2">
      <c r="K125" s="717"/>
      <c r="N125" s="712"/>
      <c r="O125" s="737" t="s">
        <v>500</v>
      </c>
    </row>
    <row r="127" spans="1:15" x14ac:dyDescent="0.2">
      <c r="A127" s="705" t="s">
        <v>540</v>
      </c>
      <c r="K127" s="717"/>
      <c r="N127" s="712"/>
      <c r="O127" s="737"/>
    </row>
    <row r="128" spans="1:15" x14ac:dyDescent="0.2">
      <c r="B128" s="712"/>
      <c r="C128" s="712"/>
      <c r="D128" s="719"/>
      <c r="E128" s="719"/>
      <c r="F128" s="707"/>
      <c r="I128" s="706">
        <v>133</v>
      </c>
      <c r="J128" s="34" t="str">
        <f>IF(COUNT(E77,E79)=2,IF(E77&lt;E79,D77,C79),"")</f>
        <v>Andres Veski</v>
      </c>
      <c r="K128" s="557">
        <v>11</v>
      </c>
      <c r="L128" s="707"/>
      <c r="O128" s="712"/>
    </row>
    <row r="129" spans="1:15" x14ac:dyDescent="0.2">
      <c r="A129" s="705"/>
      <c r="I129" s="708"/>
      <c r="J129" s="740">
        <v>153</v>
      </c>
      <c r="K129" s="560" t="str">
        <f>IF(COUNT(K128,K130)=2,IF(K128&gt;K130,J128,J130),"")</f>
        <v>Urmas Randlaine</v>
      </c>
      <c r="L129" s="557">
        <v>13</v>
      </c>
      <c r="M129" s="707"/>
      <c r="O129" s="712"/>
    </row>
    <row r="130" spans="1:15" x14ac:dyDescent="0.2">
      <c r="I130" s="708">
        <v>134</v>
      </c>
      <c r="J130" s="710" t="str">
        <f>IF(COUNT(E81,E83)=2,IF(E81&lt;E83,D81,C83),"")</f>
        <v>Urmas Randlaine</v>
      </c>
      <c r="K130" s="747">
        <v>13</v>
      </c>
      <c r="L130" s="55"/>
      <c r="O130" s="712"/>
    </row>
    <row r="131" spans="1:15" x14ac:dyDescent="0.2">
      <c r="I131" s="708"/>
      <c r="K131" s="720">
        <v>169</v>
      </c>
      <c r="L131" s="560" t="str">
        <f>IF(COUNT(L129,L133)=2,IF(L129&gt;L133,K129,K133),"")</f>
        <v>Urmas Randlaine</v>
      </c>
      <c r="M131" s="712"/>
      <c r="N131" s="557">
        <v>13</v>
      </c>
      <c r="O131" s="712"/>
    </row>
    <row r="132" spans="1:15" x14ac:dyDescent="0.2">
      <c r="I132" s="708">
        <v>135</v>
      </c>
      <c r="J132" s="34" t="str">
        <f>IF(COUNT(E85,E87)=2,IF(E85&lt;E87,D85,C87),"")</f>
        <v>Meelis Luud</v>
      </c>
      <c r="K132" s="576">
        <v>7</v>
      </c>
      <c r="L132" s="565"/>
      <c r="M132" s="714"/>
      <c r="O132" s="712"/>
    </row>
    <row r="133" spans="1:15" x14ac:dyDescent="0.2">
      <c r="I133" s="708"/>
      <c r="J133" s="740">
        <v>154</v>
      </c>
      <c r="K133" s="748" t="str">
        <f>IF(COUNT(K132,K134)=2,IF(K132&gt;K134,J132,J134),"")</f>
        <v>Enn Tokman</v>
      </c>
      <c r="L133" s="575">
        <v>5</v>
      </c>
      <c r="M133" s="715"/>
      <c r="O133" s="712"/>
    </row>
    <row r="134" spans="1:15" x14ac:dyDescent="0.2">
      <c r="I134" s="708">
        <v>136</v>
      </c>
      <c r="J134" s="710" t="str">
        <f>IF(COUNT(E89,E91)=2,IF(E89&lt;E91,D89,C91),"")</f>
        <v>Enn Tokman</v>
      </c>
      <c r="K134" s="562">
        <v>13</v>
      </c>
      <c r="L134" s="712"/>
      <c r="M134" s="716"/>
      <c r="O134" s="712"/>
    </row>
    <row r="135" spans="1:15" ht="13.5" thickBot="1" x14ac:dyDescent="0.25">
      <c r="I135" s="717"/>
      <c r="L135" s="712"/>
      <c r="M135" s="720"/>
      <c r="N135" s="722"/>
      <c r="O135" s="723" t="str">
        <f>IF(COUNT(N131,N139)=2,IF(N131&gt;N139,L131,L139),"")</f>
        <v>Urmas Randlaine</v>
      </c>
    </row>
    <row r="136" spans="1:15" x14ac:dyDescent="0.2">
      <c r="I136" s="706">
        <v>137</v>
      </c>
      <c r="J136" s="34" t="str">
        <f>IF(COUNT(E93,E95)=2,IF(E93&lt;E95,D93,C95),"")</f>
        <v>Einar Juhkam</v>
      </c>
      <c r="K136" s="557">
        <v>12</v>
      </c>
      <c r="L136" s="712"/>
      <c r="M136" s="716"/>
      <c r="N136" s="712"/>
      <c r="O136" s="725" t="s">
        <v>501</v>
      </c>
    </row>
    <row r="137" spans="1:15" x14ac:dyDescent="0.2">
      <c r="I137" s="708"/>
      <c r="J137" s="740">
        <v>155</v>
      </c>
      <c r="K137" s="560" t="str">
        <f>IF(COUNT(K136,K138)=2,IF(K136&gt;K138,J136,J138),"")</f>
        <v>Melika Lehtla</v>
      </c>
      <c r="L137" s="575">
        <v>8</v>
      </c>
      <c r="M137" s="715"/>
      <c r="N137" s="712"/>
      <c r="O137" s="712"/>
    </row>
    <row r="138" spans="1:15" ht="13.5" thickBot="1" x14ac:dyDescent="0.25">
      <c r="I138" s="708">
        <v>138</v>
      </c>
      <c r="J138" s="710" t="str">
        <f>IF(COUNT(E97,E99)=2,IF(E97&lt;E99,D97,C99),"")</f>
        <v>Melika Lehtla</v>
      </c>
      <c r="K138" s="747">
        <v>13</v>
      </c>
      <c r="L138" s="554"/>
      <c r="M138" s="716"/>
      <c r="N138" s="737"/>
      <c r="O138" s="723" t="str">
        <f>IF(COUNT(N131,N139)=2,IF(N131&lt;N139,L131,L139),"")</f>
        <v>Oksana Sažina</v>
      </c>
    </row>
    <row r="139" spans="1:15" x14ac:dyDescent="0.2">
      <c r="I139" s="708"/>
      <c r="K139" s="720">
        <v>170</v>
      </c>
      <c r="L139" s="560" t="str">
        <f>IF(COUNT(L137,L141)=2,IF(L137&gt;L141,K137,K141),"")</f>
        <v>Oksana Sažina</v>
      </c>
      <c r="M139" s="718"/>
      <c r="N139" s="557">
        <v>4</v>
      </c>
      <c r="O139" s="737" t="s">
        <v>532</v>
      </c>
    </row>
    <row r="140" spans="1:15" x14ac:dyDescent="0.2">
      <c r="I140" s="708">
        <v>139</v>
      </c>
      <c r="J140" s="34" t="str">
        <f>IF(COUNT(E101,E103)=2,IF(E101&lt;E103,D101,C103),"")</f>
        <v>Oksana Sažina</v>
      </c>
      <c r="K140" s="576">
        <v>13</v>
      </c>
      <c r="L140" s="565"/>
      <c r="M140" s="712"/>
      <c r="N140" s="712"/>
      <c r="O140" s="712"/>
    </row>
    <row r="141" spans="1:15" x14ac:dyDescent="0.2">
      <c r="I141" s="708"/>
      <c r="J141" s="740">
        <v>156</v>
      </c>
      <c r="K141" s="748" t="str">
        <f>IF(COUNT(K140,K142)=2,IF(K140&gt;K142,J140,J142),"")</f>
        <v>Oksana Sažina</v>
      </c>
      <c r="L141" s="557">
        <v>13</v>
      </c>
      <c r="M141" s="719"/>
      <c r="N141" s="712"/>
      <c r="O141" s="712"/>
    </row>
    <row r="142" spans="1:15" x14ac:dyDescent="0.2">
      <c r="I142" s="708">
        <v>140</v>
      </c>
      <c r="J142" s="710" t="str">
        <f>IF(COUNT(E105,E107)=2,IF(E105&lt;E107,D105,C107),"")</f>
        <v>Mait Metsla</v>
      </c>
      <c r="K142" s="562">
        <v>9</v>
      </c>
      <c r="M142" s="712"/>
      <c r="N142" s="712"/>
      <c r="O142" s="712"/>
    </row>
    <row r="144" spans="1:15" x14ac:dyDescent="0.2">
      <c r="I144" s="708"/>
      <c r="J144" s="712"/>
      <c r="K144" s="719"/>
      <c r="L144" s="708">
        <v>169</v>
      </c>
      <c r="M144" s="34" t="str">
        <f>IF(COUNT(L129,L133)=2,IF(L129&lt;L133,K129,K133),"")</f>
        <v>Enn Tokman</v>
      </c>
      <c r="N144" s="557">
        <v>6</v>
      </c>
      <c r="O144" s="712"/>
    </row>
    <row r="145" spans="8:15" ht="13.5" thickBot="1" x14ac:dyDescent="0.25">
      <c r="I145" s="708"/>
      <c r="M145" s="714"/>
      <c r="N145" s="750"/>
      <c r="O145" s="726" t="str">
        <f>IF(COUNT(N144,N146)=2,IF(N144&gt;N146,M144,M146),"")</f>
        <v>Melika Lehtla</v>
      </c>
    </row>
    <row r="146" spans="8:15" x14ac:dyDescent="0.2">
      <c r="I146" s="708"/>
      <c r="L146" s="708">
        <v>170</v>
      </c>
      <c r="M146" s="718" t="str">
        <f>IF(COUNT(L137,L141)=2,IF(L137&lt;L141,K137,K141),"")</f>
        <v>Melika Lehtla</v>
      </c>
      <c r="N146" s="577">
        <v>13</v>
      </c>
      <c r="O146" s="737" t="s">
        <v>544</v>
      </c>
    </row>
    <row r="147" spans="8:15" x14ac:dyDescent="0.2">
      <c r="I147" s="708"/>
      <c r="O147" s="712"/>
    </row>
    <row r="148" spans="8:15" ht="13.5" thickBot="1" x14ac:dyDescent="0.25">
      <c r="I148" s="708"/>
      <c r="M148" s="712"/>
      <c r="O148" s="567" t="str">
        <f>IF(COUNT(N144,N146)=2,IF(N144&lt;N146,M144,M146),"")</f>
        <v>Enn Tokman</v>
      </c>
    </row>
    <row r="149" spans="8:15" x14ac:dyDescent="0.2">
      <c r="I149" s="708"/>
      <c r="N149" s="712"/>
      <c r="O149" s="737" t="s">
        <v>545</v>
      </c>
    </row>
    <row r="150" spans="8:15" x14ac:dyDescent="0.2">
      <c r="I150" s="708"/>
    </row>
    <row r="151" spans="8:15" x14ac:dyDescent="0.2">
      <c r="I151" s="708"/>
      <c r="J151" s="706">
        <v>153</v>
      </c>
      <c r="K151" s="34" t="str">
        <f>IF(COUNT(K128,K130)=2,IF(K128&lt;K130,J128,J130),"")</f>
        <v>Andres Veski</v>
      </c>
      <c r="L151" s="575">
        <v>13</v>
      </c>
      <c r="M151" s="707"/>
    </row>
    <row r="152" spans="8:15" x14ac:dyDescent="0.2">
      <c r="I152" s="708"/>
      <c r="J152" s="708"/>
      <c r="K152" s="739"/>
      <c r="L152" s="560" t="str">
        <f>IF(COUNT(L151,L153)=2,IF(L151&gt;L153,K151,K153),"")</f>
        <v>Andres Veski</v>
      </c>
      <c r="M152" s="710"/>
      <c r="N152" s="557">
        <v>13</v>
      </c>
    </row>
    <row r="153" spans="8:15" x14ac:dyDescent="0.2">
      <c r="I153" s="708"/>
      <c r="J153" s="708">
        <v>154</v>
      </c>
      <c r="K153" s="718" t="str">
        <f>IF(COUNT(K132,K134)=2,IF(K132&lt;K134,J132,J134),"")</f>
        <v>Meelis Luud</v>
      </c>
      <c r="L153" s="763">
        <v>8</v>
      </c>
      <c r="M153" s="738"/>
      <c r="N153" s="55"/>
    </row>
    <row r="154" spans="8:15" ht="13.5" thickBot="1" x14ac:dyDescent="0.25">
      <c r="I154" s="708"/>
      <c r="J154" s="708"/>
      <c r="L154" s="712"/>
      <c r="M154" s="716"/>
      <c r="N154" s="750"/>
      <c r="O154" s="723" t="str">
        <f>IF(COUNT(N152,N156)=2,IF(N152&gt;N156,L152,L156),"")</f>
        <v>Andres Veski</v>
      </c>
    </row>
    <row r="155" spans="8:15" x14ac:dyDescent="0.2">
      <c r="I155" s="708"/>
      <c r="J155" s="708">
        <v>155</v>
      </c>
      <c r="K155" s="34" t="str">
        <f>IF(COUNT(K136,K138)=2,IF(K136&lt;K138,J136,J138),"")</f>
        <v>Einar Juhkam</v>
      </c>
      <c r="L155" s="575">
        <v>6</v>
      </c>
      <c r="M155" s="715"/>
      <c r="N155" s="568"/>
      <c r="O155" s="725" t="s">
        <v>546</v>
      </c>
    </row>
    <row r="156" spans="8:15" x14ac:dyDescent="0.2">
      <c r="I156" s="708"/>
      <c r="J156" s="708"/>
      <c r="K156" s="739"/>
      <c r="L156" s="560" t="str">
        <f>IF(COUNT(L155,L157)=2,IF(L155&gt;L157,K155,K157),"")</f>
        <v>Mait Metsla</v>
      </c>
      <c r="M156" s="718"/>
      <c r="N156" s="562">
        <v>12</v>
      </c>
    </row>
    <row r="157" spans="8:15" ht="13.5" thickBot="1" x14ac:dyDescent="0.25">
      <c r="I157" s="708"/>
      <c r="J157" s="708">
        <v>156</v>
      </c>
      <c r="K157" s="718" t="str">
        <f>IF(COUNT(K140,K142)=2,IF(K140&lt;K142,J140,J142),"")</f>
        <v>Mait Metsla</v>
      </c>
      <c r="L157" s="763">
        <v>13</v>
      </c>
      <c r="M157" s="707"/>
      <c r="N157" s="712"/>
      <c r="O157" s="567" t="str">
        <f>IF(COUNT(N152,N156)=2,IF(N152&lt;N156,L152,L156),"")</f>
        <v>Mait Metsla</v>
      </c>
    </row>
    <row r="158" spans="8:15" x14ac:dyDescent="0.2">
      <c r="I158" s="708"/>
      <c r="K158" s="717"/>
      <c r="N158" s="712"/>
      <c r="O158" s="725" t="s">
        <v>547</v>
      </c>
    </row>
    <row r="159" spans="8:15" x14ac:dyDescent="0.2">
      <c r="K159" s="717"/>
      <c r="L159" s="708"/>
      <c r="M159" s="34" t="str">
        <f>IF(COUNT(L151,L153)=2,IF(L151&lt;L153,K151,K153),"")</f>
        <v>Meelis Luud</v>
      </c>
      <c r="N159" s="557">
        <v>13</v>
      </c>
      <c r="O159" s="712"/>
    </row>
    <row r="160" spans="8:15" ht="13.5" thickBot="1" x14ac:dyDescent="0.25">
      <c r="H160" s="712"/>
      <c r="I160" s="712"/>
      <c r="K160" s="717"/>
      <c r="M160" s="714"/>
      <c r="N160" s="750"/>
      <c r="O160" s="726" t="str">
        <f>IF(COUNT(N159,N161)=2,IF(N159&gt;N161,M159,M161),"")</f>
        <v>Meelis Luud</v>
      </c>
    </row>
    <row r="161" spans="1:15" x14ac:dyDescent="0.2">
      <c r="H161" s="712"/>
      <c r="I161" s="712"/>
      <c r="K161" s="717"/>
      <c r="L161" s="708"/>
      <c r="M161" s="718" t="str">
        <f>IF(COUNT(L155,L157)=2,IF(L155&lt;L157,K155,K157),"")</f>
        <v>Einar Juhkam</v>
      </c>
      <c r="N161" s="577">
        <v>11</v>
      </c>
      <c r="O161" s="737" t="s">
        <v>548</v>
      </c>
    </row>
    <row r="162" spans="1:15" x14ac:dyDescent="0.2">
      <c r="H162" s="712"/>
      <c r="I162" s="712"/>
      <c r="K162" s="717"/>
      <c r="O162" s="712"/>
    </row>
    <row r="163" spans="1:15" ht="13.5" thickBot="1" x14ac:dyDescent="0.25">
      <c r="H163" s="712"/>
      <c r="I163" s="712"/>
      <c r="K163" s="717"/>
      <c r="M163" s="712"/>
      <c r="O163" s="567" t="str">
        <f>IF(COUNT(N159,N161)=2,IF(N159&lt;N161,M159,M161),"")</f>
        <v>Einar Juhkam</v>
      </c>
    </row>
    <row r="164" spans="1:15" x14ac:dyDescent="0.2">
      <c r="H164" s="712"/>
      <c r="I164" s="712"/>
      <c r="K164" s="717"/>
      <c r="N164" s="712"/>
      <c r="O164" s="737" t="s">
        <v>549</v>
      </c>
    </row>
    <row r="165" spans="1:15" x14ac:dyDescent="0.2">
      <c r="H165" s="712"/>
      <c r="I165" s="712"/>
    </row>
    <row r="166" spans="1:15" x14ac:dyDescent="0.2">
      <c r="A166" s="705" t="s">
        <v>551</v>
      </c>
      <c r="K166" s="717"/>
      <c r="N166" s="712"/>
      <c r="O166" s="737"/>
    </row>
    <row r="167" spans="1:15" x14ac:dyDescent="0.2">
      <c r="B167" s="712"/>
      <c r="C167" s="712"/>
      <c r="D167" s="719"/>
      <c r="E167" s="719"/>
      <c r="F167" s="707"/>
      <c r="I167" s="706">
        <v>125</v>
      </c>
      <c r="J167" s="34" t="str">
        <f>IF(COUNT(C78,C80)=2,IF(C78&lt;C80,B78,B80),"")</f>
        <v>-</v>
      </c>
      <c r="K167" s="557">
        <f>IF(J167="-",0,IF(J169="-",13,""))</f>
        <v>0</v>
      </c>
      <c r="L167" s="707"/>
      <c r="O167" s="712"/>
    </row>
    <row r="168" spans="1:15" x14ac:dyDescent="0.2">
      <c r="A168" s="705"/>
      <c r="I168" s="708"/>
      <c r="J168" s="740"/>
      <c r="K168" s="560" t="str">
        <f>IF(COUNT(K167,K169)=2,IF(K167&gt;K169,J167,J169),"")</f>
        <v>-</v>
      </c>
      <c r="L168" s="557">
        <f>IF(K168="-",0,IF(K172="-",13,""))</f>
        <v>0</v>
      </c>
      <c r="M168" s="707"/>
      <c r="O168" s="712"/>
    </row>
    <row r="169" spans="1:15" x14ac:dyDescent="0.2">
      <c r="I169" s="708">
        <v>126</v>
      </c>
      <c r="J169" s="710" t="str">
        <f>IF(COUNT(C82,C84)=2,IF(C82&lt;C84,B82,B84),"")</f>
        <v>-</v>
      </c>
      <c r="K169" s="747">
        <f>IF(J169="-",0,IF(J167="-",13,""))</f>
        <v>0</v>
      </c>
      <c r="L169" s="55"/>
      <c r="O169" s="712"/>
    </row>
    <row r="170" spans="1:15" ht="12" customHeight="1" x14ac:dyDescent="0.2">
      <c r="I170" s="708"/>
      <c r="K170" s="720"/>
      <c r="L170" s="560" t="str">
        <f>IF(COUNT(L168,L172)=2,IF(L168&gt;L172,K168,K172),"")</f>
        <v>Urmas Jõeäär</v>
      </c>
      <c r="M170" s="712"/>
      <c r="N170" s="557">
        <v>13</v>
      </c>
      <c r="O170" s="712"/>
    </row>
    <row r="171" spans="1:15" x14ac:dyDescent="0.2">
      <c r="I171" s="708">
        <v>127</v>
      </c>
      <c r="J171" s="34" t="str">
        <f>IF(COUNT(C86,C88)=2,IF(C86&lt;C88,B86,B88),"")</f>
        <v>Urmas Jõeäär</v>
      </c>
      <c r="K171" s="576">
        <f>IF(J171="-",0,IF(J173="-",13,""))</f>
        <v>13</v>
      </c>
      <c r="L171" s="565"/>
      <c r="M171" s="714"/>
      <c r="O171" s="712"/>
    </row>
    <row r="172" spans="1:15" x14ac:dyDescent="0.2">
      <c r="I172" s="708"/>
      <c r="J172" s="740"/>
      <c r="K172" s="748" t="str">
        <f>IF(COUNT(K171,K173)=2,IF(K171&gt;K173,J171,J173),"")</f>
        <v>Urmas Jõeäär</v>
      </c>
      <c r="L172" s="575">
        <f>IF(K172="-",0,IF(K168="-",13,""))</f>
        <v>13</v>
      </c>
      <c r="M172" s="715"/>
      <c r="O172" s="712"/>
    </row>
    <row r="173" spans="1:15" x14ac:dyDescent="0.2">
      <c r="I173" s="708">
        <v>128</v>
      </c>
      <c r="J173" s="710" t="str">
        <f>IF(COUNT(C90,C92)=2,IF(C90&lt;C92,B90,B92),"")</f>
        <v>-</v>
      </c>
      <c r="K173" s="562">
        <f>IF(J173="-",0,IF(J171="-",13,""))</f>
        <v>0</v>
      </c>
      <c r="L173" s="712"/>
      <c r="M173" s="716"/>
      <c r="O173" s="712"/>
    </row>
    <row r="174" spans="1:15" ht="13.5" thickBot="1" x14ac:dyDescent="0.25">
      <c r="I174" s="717"/>
      <c r="L174" s="712"/>
      <c r="M174" s="720"/>
      <c r="N174" s="722"/>
      <c r="O174" s="723" t="str">
        <f>IF(COUNT(N170,N178)=2,IF(N170&gt;N178,L170,L178),"")</f>
        <v>Urmas Jõeäär</v>
      </c>
    </row>
    <row r="175" spans="1:15" x14ac:dyDescent="0.2">
      <c r="I175" s="706">
        <v>129</v>
      </c>
      <c r="J175" s="34" t="str">
        <f>IF(COUNT(C94,C96)=2,IF(C94&lt;C96,B94,B96),"")</f>
        <v>-</v>
      </c>
      <c r="K175" s="557">
        <f>IF(J175="-",0,IF(J177="-",13,""))</f>
        <v>0</v>
      </c>
      <c r="L175" s="712"/>
      <c r="M175" s="716"/>
      <c r="N175" s="712"/>
      <c r="O175" s="725" t="s">
        <v>552</v>
      </c>
    </row>
    <row r="176" spans="1:15" x14ac:dyDescent="0.2">
      <c r="I176" s="708"/>
      <c r="J176" s="740"/>
      <c r="K176" s="560" t="str">
        <f>IF(COUNT(K175,K177)=2,IF(K175&gt;K177,J175,J177),"")</f>
        <v>Illar Tõnurist</v>
      </c>
      <c r="L176" s="575">
        <f>IF(K176="-",0,IF(K180="-",13,""))</f>
        <v>13</v>
      </c>
      <c r="M176" s="715"/>
      <c r="N176" s="712"/>
      <c r="O176" s="712"/>
    </row>
    <row r="177" spans="9:15" ht="13.5" thickBot="1" x14ac:dyDescent="0.25">
      <c r="I177" s="708">
        <v>130</v>
      </c>
      <c r="J177" s="710" t="str">
        <f>IF(COUNT(C98,C100)=2,IF(C98&lt;C100,B98,B100),"")</f>
        <v>Illar Tõnurist</v>
      </c>
      <c r="K177" s="747">
        <f>IF(J177="-",0,IF(J175="-",13,""))</f>
        <v>13</v>
      </c>
      <c r="L177" s="554"/>
      <c r="M177" s="716"/>
      <c r="N177" s="737"/>
      <c r="O177" s="723" t="str">
        <f>IF(COUNT(N170,N178)=2,IF(N170&lt;N178,L170,L178),"")</f>
        <v>Illar Tõnurist</v>
      </c>
    </row>
    <row r="178" spans="9:15" x14ac:dyDescent="0.2">
      <c r="I178" s="708"/>
      <c r="K178" s="720"/>
      <c r="L178" s="560" t="str">
        <f>IF(COUNT(L176,L180)=2,IF(L176&gt;L180,K176,K180),"")</f>
        <v>Illar Tõnurist</v>
      </c>
      <c r="M178" s="718"/>
      <c r="N178" s="557">
        <v>6</v>
      </c>
      <c r="O178" s="737" t="s">
        <v>553</v>
      </c>
    </row>
    <row r="179" spans="9:15" x14ac:dyDescent="0.2">
      <c r="I179" s="708">
        <v>131</v>
      </c>
      <c r="J179" s="34" t="str">
        <f>IF(COUNT(C102,C104)=2,IF(C102&lt;C104,B102,B104),"")</f>
        <v>-</v>
      </c>
      <c r="K179" s="576">
        <f>IF(J179="-",0,IF(J181="-",13,""))</f>
        <v>0</v>
      </c>
      <c r="L179" s="565"/>
      <c r="M179" s="712"/>
      <c r="N179" s="712"/>
      <c r="O179" s="712"/>
    </row>
    <row r="180" spans="9:15" x14ac:dyDescent="0.2">
      <c r="I180" s="708"/>
      <c r="J180" s="740"/>
      <c r="K180" s="748" t="str">
        <f>IF(COUNT(K179,K181)=2,IF(K179&gt;K181,J179,J181),"")</f>
        <v>-</v>
      </c>
      <c r="L180" s="557">
        <f>IF(K180="-",0,IF(K176="-",13,""))</f>
        <v>0</v>
      </c>
      <c r="M180" s="719"/>
      <c r="N180" s="712"/>
      <c r="O180" s="712"/>
    </row>
    <row r="181" spans="9:15" x14ac:dyDescent="0.2">
      <c r="I181" s="708">
        <v>132</v>
      </c>
      <c r="J181" s="710" t="str">
        <f>IF(COUNT(C106,C108)=2,IF(C106&lt;C108,B106,B108),"")</f>
        <v>-</v>
      </c>
      <c r="K181" s="562">
        <f>IF(J181="-",0,IF(J179="-",13,""))</f>
        <v>0</v>
      </c>
      <c r="M181" s="712"/>
      <c r="N181" s="712"/>
      <c r="O181" s="712"/>
    </row>
    <row r="182" spans="9:15" hidden="1" x14ac:dyDescent="0.2">
      <c r="I182" s="708"/>
      <c r="J182" s="712"/>
      <c r="K182" s="719"/>
      <c r="L182" s="708"/>
      <c r="M182" s="34" t="str">
        <f>IF(COUNT(L168,L172)=2,IF(L168&lt;L172,K168,K172),"")</f>
        <v>-</v>
      </c>
      <c r="N182" s="557">
        <f>IF(M182="-",0,IF(M184="-",13,""))</f>
        <v>0</v>
      </c>
      <c r="O182" s="712"/>
    </row>
    <row r="183" spans="9:15" ht="13.5" hidden="1" thickBot="1" x14ac:dyDescent="0.25">
      <c r="I183" s="708"/>
      <c r="M183" s="714"/>
      <c r="N183" s="750"/>
      <c r="O183" s="726" t="str">
        <f>IF(COUNT(N182,N184)=2,IF(N182&gt;N184,M182,M184),"")</f>
        <v>-</v>
      </c>
    </row>
    <row r="184" spans="9:15" hidden="1" x14ac:dyDescent="0.2">
      <c r="I184" s="708"/>
      <c r="L184" s="708"/>
      <c r="M184" s="718" t="str">
        <f>IF(COUNT(L176,L180)=2,IF(L176&lt;L180,K176,K180),"")</f>
        <v>-</v>
      </c>
      <c r="N184" s="577">
        <f>IF(M184="-",0,IF(M182="-",13,""))</f>
        <v>0</v>
      </c>
      <c r="O184" s="737" t="s">
        <v>554</v>
      </c>
    </row>
    <row r="185" spans="9:15" hidden="1" x14ac:dyDescent="0.2">
      <c r="I185" s="708"/>
      <c r="O185" s="712"/>
    </row>
    <row r="186" spans="9:15" ht="13.5" hidden="1" thickBot="1" x14ac:dyDescent="0.25">
      <c r="I186" s="708"/>
      <c r="M186" s="712"/>
      <c r="O186" s="567" t="str">
        <f>IF(COUNT(N182,N184)=2,IF(N182&lt;N184,M182,M184),"")</f>
        <v>-</v>
      </c>
    </row>
    <row r="187" spans="9:15" hidden="1" x14ac:dyDescent="0.2">
      <c r="I187" s="708"/>
      <c r="N187" s="712"/>
      <c r="O187" s="737" t="s">
        <v>555</v>
      </c>
    </row>
    <row r="188" spans="9:15" hidden="1" x14ac:dyDescent="0.2">
      <c r="I188" s="708"/>
    </row>
    <row r="189" spans="9:15" hidden="1" x14ac:dyDescent="0.2">
      <c r="I189" s="708"/>
      <c r="J189" s="706"/>
      <c r="K189" s="34" t="str">
        <f>IF(COUNT(K167,K169)=2,IF(K167&lt;K169,J167,J169),"")</f>
        <v>-</v>
      </c>
      <c r="L189" s="575">
        <f>IF(K189="-",0,IF(K191="-",13,""))</f>
        <v>0</v>
      </c>
      <c r="M189" s="707"/>
    </row>
    <row r="190" spans="9:15" hidden="1" x14ac:dyDescent="0.2">
      <c r="I190" s="708"/>
      <c r="J190" s="708"/>
      <c r="K190" s="739"/>
      <c r="L190" s="560" t="str">
        <f>IF(COUNT(L189,L191)=2,IF(L189&gt;L191,K189,K191),"")</f>
        <v>-</v>
      </c>
      <c r="M190" s="710"/>
      <c r="N190" s="557" t="str">
        <f>IF(M190="-",0,IF(M194="-",13,""))</f>
        <v/>
      </c>
    </row>
    <row r="191" spans="9:15" hidden="1" x14ac:dyDescent="0.2">
      <c r="I191" s="708"/>
      <c r="J191" s="708"/>
      <c r="K191" s="718" t="str">
        <f>IF(COUNT(K171,K173)=2,IF(K171&lt;K173,J171,J173),"")</f>
        <v>-</v>
      </c>
      <c r="L191" s="763">
        <f>IF(K191="-",0,IF(K189="-",13,""))</f>
        <v>0</v>
      </c>
      <c r="M191" s="738"/>
      <c r="N191" s="55"/>
    </row>
    <row r="192" spans="9:15" ht="13.5" hidden="1" thickBot="1" x14ac:dyDescent="0.25">
      <c r="I192" s="708"/>
      <c r="J192" s="708"/>
      <c r="L192" s="712"/>
      <c r="M192" s="716"/>
      <c r="N192" s="750"/>
      <c r="O192" s="723" t="str">
        <f>IF(COUNT(N190,N194)=2,IF(N190&gt;N194,L190,L194),"")</f>
        <v/>
      </c>
    </row>
    <row r="193" spans="8:15" hidden="1" x14ac:dyDescent="0.2">
      <c r="I193" s="708"/>
      <c r="J193" s="708"/>
      <c r="K193" s="34" t="str">
        <f>IF(COUNT(K175,K177)=2,IF(K175&lt;K177,J175,J177),"")</f>
        <v>-</v>
      </c>
      <c r="L193" s="575">
        <f>IF(K193="-",0,IF(K195="-",13,""))</f>
        <v>0</v>
      </c>
      <c r="M193" s="715"/>
      <c r="N193" s="568"/>
      <c r="O193" s="725" t="s">
        <v>556</v>
      </c>
    </row>
    <row r="194" spans="8:15" hidden="1" x14ac:dyDescent="0.2">
      <c r="I194" s="708"/>
      <c r="J194" s="708"/>
      <c r="K194" s="739"/>
      <c r="L194" s="560" t="str">
        <f>IF(COUNT(L193,L195)=2,IF(L193&gt;L195,K193,K195),"")</f>
        <v>-</v>
      </c>
      <c r="M194" s="718"/>
      <c r="N194" s="562" t="str">
        <f>IF(M194="-",0,IF(M190="-",13,""))</f>
        <v/>
      </c>
    </row>
    <row r="195" spans="8:15" ht="13.5" hidden="1" thickBot="1" x14ac:dyDescent="0.25">
      <c r="I195" s="708"/>
      <c r="J195" s="708"/>
      <c r="K195" s="718" t="str">
        <f>IF(COUNT(K179,K181)=2,IF(K179&lt;K181,J179,J181),"")</f>
        <v>-</v>
      </c>
      <c r="L195" s="763">
        <f>IF(K195="-",0,IF(K193="-",13,""))</f>
        <v>0</v>
      </c>
      <c r="M195" s="707"/>
      <c r="N195" s="712"/>
      <c r="O195" s="567" t="str">
        <f>IF(COUNT(N190,N194)=2,IF(N190&lt;N194,L190,L194),"")</f>
        <v/>
      </c>
    </row>
    <row r="196" spans="8:15" hidden="1" x14ac:dyDescent="0.2">
      <c r="I196" s="708"/>
      <c r="K196" s="717"/>
      <c r="N196" s="712"/>
      <c r="O196" s="725" t="s">
        <v>557</v>
      </c>
    </row>
    <row r="197" spans="8:15" hidden="1" x14ac:dyDescent="0.2">
      <c r="K197" s="717"/>
      <c r="L197" s="708"/>
      <c r="M197" s="34" t="str">
        <f>IF(COUNT(L189,L191)=2,IF(L189&lt;L191,K189,K191),"")</f>
        <v>-</v>
      </c>
      <c r="N197" s="557">
        <f>IF(M197="-",0,IF(M199="-",13,""))</f>
        <v>0</v>
      </c>
      <c r="O197" s="712"/>
    </row>
    <row r="198" spans="8:15" ht="13.5" hidden="1" thickBot="1" x14ac:dyDescent="0.25">
      <c r="H198" s="712"/>
      <c r="I198" s="712"/>
      <c r="K198" s="717"/>
      <c r="M198" s="714"/>
      <c r="N198" s="750"/>
      <c r="O198" s="726" t="str">
        <f>IF(COUNT(N197,N199)=2,IF(N197&gt;N199,M197,M199),"")</f>
        <v>-</v>
      </c>
    </row>
    <row r="199" spans="8:15" hidden="1" x14ac:dyDescent="0.2">
      <c r="H199" s="712"/>
      <c r="I199" s="712"/>
      <c r="K199" s="717"/>
      <c r="L199" s="708"/>
      <c r="M199" s="718" t="str">
        <f>IF(COUNT(L193,L195)=2,IF(L193&lt;L195,K193,K195),"")</f>
        <v>-</v>
      </c>
      <c r="N199" s="577">
        <f>IF(M199="-",0,IF(M197="-",13,""))</f>
        <v>0</v>
      </c>
      <c r="O199" s="737" t="s">
        <v>558</v>
      </c>
    </row>
    <row r="200" spans="8:15" hidden="1" x14ac:dyDescent="0.2">
      <c r="H200" s="712"/>
      <c r="I200" s="712"/>
      <c r="K200" s="717"/>
      <c r="O200" s="712"/>
    </row>
    <row r="201" spans="8:15" ht="13.5" hidden="1" thickBot="1" x14ac:dyDescent="0.25">
      <c r="H201" s="712"/>
      <c r="I201" s="712"/>
      <c r="K201" s="717"/>
      <c r="M201" s="712"/>
      <c r="O201" s="567" t="str">
        <f>IF(COUNT(N197,N199)=2,IF(N197&lt;N199,M197,M199),"")</f>
        <v>-</v>
      </c>
    </row>
    <row r="202" spans="8:15" hidden="1" x14ac:dyDescent="0.2">
      <c r="H202" s="712"/>
      <c r="I202" s="712"/>
      <c r="K202" s="717"/>
      <c r="N202" s="712"/>
      <c r="O202" s="737" t="s">
        <v>559</v>
      </c>
    </row>
    <row r="203" spans="8:15" hidden="1" x14ac:dyDescent="0.2"/>
    <row r="204" spans="8:15" hidden="1" x14ac:dyDescent="0.2"/>
    <row r="205" spans="8:15" hidden="1" x14ac:dyDescent="0.2"/>
    <row r="206" spans="8:15" hidden="1" x14ac:dyDescent="0.2"/>
    <row r="207" spans="8:15" hidden="1" x14ac:dyDescent="0.2"/>
    <row r="208" spans="8:15"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8" spans="1:3" x14ac:dyDescent="0.2">
      <c r="A298" s="705" t="s">
        <v>533</v>
      </c>
    </row>
    <row r="300" spans="1:3" x14ac:dyDescent="0.2">
      <c r="A300" s="176">
        <v>1</v>
      </c>
      <c r="B300" s="589" t="str">
        <f>IFERROR(INDEX(O$10:O$300,MATCH(A300&amp;". koht",O$11:O$301,0)),"")</f>
        <v>Oleg Rõndenkov</v>
      </c>
      <c r="C300" s="52"/>
    </row>
    <row r="301" spans="1:3" x14ac:dyDescent="0.2">
      <c r="A301" s="176">
        <v>2</v>
      </c>
      <c r="B301" s="590" t="str">
        <f t="shared" ref="B301:B331" si="0">IFERROR(INDEX(O$10:O$300,MATCH(A301&amp;". koht",O$11:O$301,0)),"")</f>
        <v>Elmo Lageda</v>
      </c>
      <c r="C301" s="284"/>
    </row>
    <row r="302" spans="1:3" x14ac:dyDescent="0.2">
      <c r="A302" s="176">
        <v>3</v>
      </c>
      <c r="B302" s="591" t="str">
        <f t="shared" si="0"/>
        <v>Aarne Välja</v>
      </c>
      <c r="C302" s="284"/>
    </row>
    <row r="303" spans="1:3" x14ac:dyDescent="0.2">
      <c r="A303" s="176">
        <v>4</v>
      </c>
      <c r="B303" s="178" t="str">
        <f t="shared" si="0"/>
        <v>Svetlana Veski</v>
      </c>
      <c r="C303" s="284"/>
    </row>
    <row r="304" spans="1:3" x14ac:dyDescent="0.2">
      <c r="A304" s="176">
        <v>5</v>
      </c>
      <c r="B304" s="175" t="str">
        <f t="shared" si="0"/>
        <v>Tõnu Piik</v>
      </c>
      <c r="C304" s="12"/>
    </row>
    <row r="305" spans="1:3" x14ac:dyDescent="0.2">
      <c r="A305" s="176">
        <v>6</v>
      </c>
      <c r="B305" s="1012" t="str">
        <f t="shared" si="0"/>
        <v>Henri Mitt</v>
      </c>
      <c r="C305" s="12"/>
    </row>
    <row r="306" spans="1:3" x14ac:dyDescent="0.2">
      <c r="A306" s="176">
        <v>7</v>
      </c>
      <c r="B306" s="175" t="str">
        <f t="shared" si="0"/>
        <v>Jaan Sepp</v>
      </c>
      <c r="C306" s="12"/>
    </row>
    <row r="307" spans="1:3" x14ac:dyDescent="0.2">
      <c r="A307" s="176">
        <v>8</v>
      </c>
      <c r="B307" s="175" t="str">
        <f t="shared" si="0"/>
        <v>Andrei Grintšak</v>
      </c>
      <c r="C307" s="12"/>
    </row>
    <row r="308" spans="1:3" x14ac:dyDescent="0.2">
      <c r="A308" s="176">
        <v>9</v>
      </c>
      <c r="B308" s="175" t="str">
        <f t="shared" si="0"/>
        <v>Tarmo Bombe</v>
      </c>
      <c r="C308" s="12"/>
    </row>
    <row r="309" spans="1:3" x14ac:dyDescent="0.2">
      <c r="A309" s="176">
        <v>10</v>
      </c>
      <c r="B309" s="175" t="str">
        <f t="shared" si="0"/>
        <v>Karla Purgats</v>
      </c>
      <c r="C309" s="12"/>
    </row>
    <row r="310" spans="1:3" x14ac:dyDescent="0.2">
      <c r="A310" s="176">
        <v>11</v>
      </c>
      <c r="B310" s="175" t="str">
        <f t="shared" si="0"/>
        <v>Jaan Saar</v>
      </c>
      <c r="C310" s="12"/>
    </row>
    <row r="311" spans="1:3" x14ac:dyDescent="0.2">
      <c r="A311" s="176">
        <v>12</v>
      </c>
      <c r="B311" s="175" t="str">
        <f t="shared" si="0"/>
        <v>Janek Tarto</v>
      </c>
      <c r="C311" s="12"/>
    </row>
    <row r="312" spans="1:3" x14ac:dyDescent="0.2">
      <c r="A312" s="176">
        <v>13</v>
      </c>
      <c r="B312" s="175" t="str">
        <f t="shared" si="0"/>
        <v>Ülo Piik</v>
      </c>
      <c r="C312" s="12"/>
    </row>
    <row r="313" spans="1:3" x14ac:dyDescent="0.2">
      <c r="A313" s="176">
        <v>14</v>
      </c>
      <c r="B313" s="175" t="str">
        <f t="shared" si="0"/>
        <v>Kenneth Muusikus</v>
      </c>
      <c r="C313" s="12"/>
    </row>
    <row r="314" spans="1:3" x14ac:dyDescent="0.2">
      <c r="A314" s="176">
        <v>15</v>
      </c>
      <c r="B314" s="175" t="str">
        <f t="shared" si="0"/>
        <v>Boriss Klubov</v>
      </c>
      <c r="C314" s="12"/>
    </row>
    <row r="315" spans="1:3" x14ac:dyDescent="0.2">
      <c r="A315" s="176">
        <v>16</v>
      </c>
      <c r="B315" s="175" t="str">
        <f t="shared" si="0"/>
        <v>Vladimir Ogneštšikov</v>
      </c>
    </row>
    <row r="316" spans="1:3" x14ac:dyDescent="0.2">
      <c r="A316" s="176">
        <v>17</v>
      </c>
      <c r="B316" s="175" t="str">
        <f t="shared" si="0"/>
        <v>Urmas Randlaine</v>
      </c>
    </row>
    <row r="317" spans="1:3" x14ac:dyDescent="0.2">
      <c r="A317" s="176">
        <v>18</v>
      </c>
      <c r="B317" s="178" t="str">
        <f t="shared" si="0"/>
        <v>Oksana Sažina</v>
      </c>
    </row>
    <row r="318" spans="1:3" x14ac:dyDescent="0.2">
      <c r="A318" s="176">
        <v>19</v>
      </c>
      <c r="B318" s="178" t="str">
        <f t="shared" si="0"/>
        <v>Melika Lehtla</v>
      </c>
    </row>
    <row r="319" spans="1:3" x14ac:dyDescent="0.2">
      <c r="A319" s="176">
        <v>20</v>
      </c>
      <c r="B319" s="175" t="str">
        <f t="shared" si="0"/>
        <v>Enn Tokman</v>
      </c>
    </row>
    <row r="320" spans="1:3" x14ac:dyDescent="0.2">
      <c r="A320" s="176">
        <v>21</v>
      </c>
      <c r="B320" s="175" t="str">
        <f t="shared" si="0"/>
        <v>Andres Veski</v>
      </c>
    </row>
    <row r="321" spans="1:2" x14ac:dyDescent="0.2">
      <c r="A321" s="176">
        <v>22</v>
      </c>
      <c r="B321" s="175" t="str">
        <f t="shared" si="0"/>
        <v>Mait Metsla</v>
      </c>
    </row>
    <row r="322" spans="1:2" x14ac:dyDescent="0.2">
      <c r="A322" s="176">
        <v>23</v>
      </c>
      <c r="B322" s="175" t="str">
        <f t="shared" si="0"/>
        <v>Meelis Luud</v>
      </c>
    </row>
    <row r="323" spans="1:2" x14ac:dyDescent="0.2">
      <c r="A323" s="176">
        <v>24</v>
      </c>
      <c r="B323" s="175" t="str">
        <f t="shared" si="0"/>
        <v>Einar Juhkam</v>
      </c>
    </row>
    <row r="324" spans="1:2" x14ac:dyDescent="0.2">
      <c r="A324" s="176">
        <v>25</v>
      </c>
      <c r="B324" s="175" t="str">
        <f t="shared" si="0"/>
        <v>Urmas Jõeäär</v>
      </c>
    </row>
    <row r="325" spans="1:2" x14ac:dyDescent="0.2">
      <c r="A325" s="176">
        <v>26</v>
      </c>
      <c r="B325" s="175" t="str">
        <f t="shared" si="0"/>
        <v>Illar Tõnurist</v>
      </c>
    </row>
    <row r="326" spans="1:2" hidden="1" x14ac:dyDescent="0.2">
      <c r="A326" s="186">
        <v>27</v>
      </c>
      <c r="B326" s="179" t="str">
        <f t="shared" si="0"/>
        <v>-</v>
      </c>
    </row>
    <row r="327" spans="1:2" hidden="1" x14ac:dyDescent="0.2">
      <c r="A327" s="186">
        <v>28</v>
      </c>
      <c r="B327" s="179" t="str">
        <f t="shared" si="0"/>
        <v>-</v>
      </c>
    </row>
    <row r="328" spans="1:2" hidden="1" x14ac:dyDescent="0.2">
      <c r="A328" s="186">
        <v>29</v>
      </c>
      <c r="B328" s="179" t="str">
        <f t="shared" si="0"/>
        <v/>
      </c>
    </row>
    <row r="329" spans="1:2" hidden="1" x14ac:dyDescent="0.2">
      <c r="A329" s="186">
        <v>30</v>
      </c>
      <c r="B329" s="179" t="str">
        <f t="shared" si="0"/>
        <v/>
      </c>
    </row>
    <row r="330" spans="1:2" hidden="1" x14ac:dyDescent="0.2">
      <c r="A330" s="186">
        <v>31</v>
      </c>
      <c r="B330" s="179" t="str">
        <f t="shared" si="0"/>
        <v>-</v>
      </c>
    </row>
    <row r="331" spans="1:2" hidden="1" x14ac:dyDescent="0.2">
      <c r="A331" s="186">
        <v>32</v>
      </c>
      <c r="B331" s="179" t="str">
        <f t="shared" si="0"/>
        <v>-</v>
      </c>
    </row>
  </sheetData>
  <conditionalFormatting sqref="N62:N63 N70 L71:N73 K72">
    <cfRule type="cellIs" dxfId="244" priority="319" operator="equal">
      <formula>13</formula>
    </cfRule>
  </conditionalFormatting>
  <conditionalFormatting sqref="C8 C10">
    <cfRule type="aboveAverage" dxfId="243" priority="316"/>
  </conditionalFormatting>
  <conditionalFormatting sqref="C8 C10">
    <cfRule type="containsBlanks" dxfId="242" priority="315">
      <formula>LEN(TRIM(C8))=0</formula>
    </cfRule>
  </conditionalFormatting>
  <conditionalFormatting sqref="C12 C14">
    <cfRule type="aboveAverage" dxfId="241" priority="314"/>
  </conditionalFormatting>
  <conditionalFormatting sqref="C12 C14">
    <cfRule type="containsBlanks" dxfId="240" priority="313">
      <formula>LEN(TRIM(C12))=0</formula>
    </cfRule>
  </conditionalFormatting>
  <conditionalFormatting sqref="C16 C18">
    <cfRule type="aboveAverage" dxfId="239" priority="312"/>
  </conditionalFormatting>
  <conditionalFormatting sqref="C16 C18">
    <cfRule type="containsBlanks" dxfId="238" priority="311">
      <formula>LEN(TRIM(C16))=0</formula>
    </cfRule>
  </conditionalFormatting>
  <conditionalFormatting sqref="C24 C26">
    <cfRule type="aboveAverage" dxfId="237" priority="310"/>
  </conditionalFormatting>
  <conditionalFormatting sqref="C24 C26">
    <cfRule type="containsBlanks" dxfId="236" priority="309">
      <formula>LEN(TRIM(C24))=0</formula>
    </cfRule>
  </conditionalFormatting>
  <conditionalFormatting sqref="C32 C34">
    <cfRule type="aboveAverage" dxfId="235" priority="308"/>
  </conditionalFormatting>
  <conditionalFormatting sqref="C32 C34">
    <cfRule type="containsBlanks" dxfId="234" priority="307">
      <formula>LEN(TRIM(C32))=0</formula>
    </cfRule>
  </conditionalFormatting>
  <conditionalFormatting sqref="C20 C22">
    <cfRule type="aboveAverage" dxfId="233" priority="306"/>
  </conditionalFormatting>
  <conditionalFormatting sqref="C20 C22">
    <cfRule type="containsBlanks" dxfId="232" priority="305">
      <formula>LEN(TRIM(C20))=0</formula>
    </cfRule>
  </conditionalFormatting>
  <conditionalFormatting sqref="C28 C30">
    <cfRule type="aboveAverage" dxfId="231" priority="304"/>
  </conditionalFormatting>
  <conditionalFormatting sqref="C28 C30">
    <cfRule type="containsBlanks" dxfId="230" priority="303">
      <formula>LEN(TRIM(C28))=0</formula>
    </cfRule>
  </conditionalFormatting>
  <conditionalFormatting sqref="C36 C38">
    <cfRule type="containsBlanks" dxfId="229" priority="301">
      <formula>LEN(TRIM(C36))=0</formula>
    </cfRule>
    <cfRule type="aboveAverage" dxfId="228" priority="302"/>
  </conditionalFormatting>
  <conditionalFormatting sqref="C41 C43">
    <cfRule type="aboveAverage" dxfId="227" priority="300"/>
  </conditionalFormatting>
  <conditionalFormatting sqref="C41 C43">
    <cfRule type="containsBlanks" dxfId="226" priority="299">
      <formula>LEN(TRIM(C41))=0</formula>
    </cfRule>
  </conditionalFormatting>
  <conditionalFormatting sqref="C45 C47">
    <cfRule type="aboveAverage" dxfId="225" priority="298"/>
  </conditionalFormatting>
  <conditionalFormatting sqref="C45 C47">
    <cfRule type="containsBlanks" dxfId="224" priority="297">
      <formula>LEN(TRIM(C45))=0</formula>
    </cfRule>
  </conditionalFormatting>
  <conditionalFormatting sqref="C49 C51">
    <cfRule type="aboveAverage" dxfId="223" priority="296"/>
  </conditionalFormatting>
  <conditionalFormatting sqref="C49 C51">
    <cfRule type="containsBlanks" dxfId="222" priority="295">
      <formula>LEN(TRIM(C49))=0</formula>
    </cfRule>
  </conditionalFormatting>
  <conditionalFormatting sqref="C57 C59">
    <cfRule type="aboveAverage" dxfId="221" priority="294"/>
  </conditionalFormatting>
  <conditionalFormatting sqref="C57 C59">
    <cfRule type="containsBlanks" dxfId="220" priority="293">
      <formula>LEN(TRIM(C57))=0</formula>
    </cfRule>
  </conditionalFormatting>
  <conditionalFormatting sqref="C65 C67">
    <cfRule type="aboveAverage" dxfId="219" priority="292"/>
  </conditionalFormatting>
  <conditionalFormatting sqref="C65 C67">
    <cfRule type="containsBlanks" dxfId="218" priority="291">
      <formula>LEN(TRIM(C65))=0</formula>
    </cfRule>
  </conditionalFormatting>
  <conditionalFormatting sqref="C53 C55">
    <cfRule type="aboveAverage" dxfId="217" priority="290"/>
  </conditionalFormatting>
  <conditionalFormatting sqref="C53 C55">
    <cfRule type="containsBlanks" dxfId="216" priority="289">
      <formula>LEN(TRIM(C53))=0</formula>
    </cfRule>
  </conditionalFormatting>
  <conditionalFormatting sqref="C61 C63">
    <cfRule type="aboveAverage" dxfId="215" priority="288"/>
  </conditionalFormatting>
  <conditionalFormatting sqref="C61 C63">
    <cfRule type="containsBlanks" dxfId="214" priority="287">
      <formula>LEN(TRIM(C61))=0</formula>
    </cfRule>
  </conditionalFormatting>
  <conditionalFormatting sqref="C69 C71">
    <cfRule type="containsBlanks" dxfId="213" priority="285">
      <formula>LEN(TRIM(C69))=0</formula>
    </cfRule>
    <cfRule type="aboveAverage" dxfId="212" priority="286"/>
  </conditionalFormatting>
  <conditionalFormatting sqref="C106 C108 C102 C104 C98 C100 C94 C96 C90 C92 C86 C88 C82 C84 C78 C80">
    <cfRule type="aboveAverage" dxfId="211" priority="284"/>
  </conditionalFormatting>
  <conditionalFormatting sqref="C106 C108 C102 C104 C98 C100 C94 C96 C90 C92 C86 C88 C82 C84 C78 C80">
    <cfRule type="containsBlanks" dxfId="210" priority="283">
      <formula>LEN(TRIM(C78))=0</formula>
    </cfRule>
  </conditionalFormatting>
  <conditionalFormatting sqref="N139">
    <cfRule type="containsBlanks" dxfId="209" priority="171">
      <formula>LEN(TRIM(N139))=0</formula>
    </cfRule>
  </conditionalFormatting>
  <conditionalFormatting sqref="E77 E79">
    <cfRule type="aboveAverage" dxfId="208" priority="282"/>
  </conditionalFormatting>
  <conditionalFormatting sqref="E77 E79">
    <cfRule type="containsBlanks" dxfId="207" priority="281">
      <formula>LEN(TRIM(E77))=0</formula>
    </cfRule>
  </conditionalFormatting>
  <conditionalFormatting sqref="E81 E83">
    <cfRule type="aboveAverage" dxfId="206" priority="280"/>
  </conditionalFormatting>
  <conditionalFormatting sqref="E81 E83">
    <cfRule type="containsBlanks" dxfId="205" priority="279">
      <formula>LEN(TRIM(E81))=0</formula>
    </cfRule>
  </conditionalFormatting>
  <conditionalFormatting sqref="E85 E87">
    <cfRule type="aboveAverage" dxfId="204" priority="278"/>
  </conditionalFormatting>
  <conditionalFormatting sqref="E85 E87">
    <cfRule type="containsBlanks" dxfId="203" priority="277">
      <formula>LEN(TRIM(E85))=0</formula>
    </cfRule>
  </conditionalFormatting>
  <conditionalFormatting sqref="E93 E95">
    <cfRule type="aboveAverage" dxfId="202" priority="276"/>
  </conditionalFormatting>
  <conditionalFormatting sqref="E93 E95">
    <cfRule type="containsBlanks" dxfId="201" priority="275">
      <formula>LEN(TRIM(E93))=0</formula>
    </cfRule>
  </conditionalFormatting>
  <conditionalFormatting sqref="E101 E103">
    <cfRule type="aboveAverage" dxfId="200" priority="274"/>
  </conditionalFormatting>
  <conditionalFormatting sqref="E101 E103">
    <cfRule type="containsBlanks" dxfId="199" priority="273">
      <formula>LEN(TRIM(E101))=0</formula>
    </cfRule>
  </conditionalFormatting>
  <conditionalFormatting sqref="E89 E91">
    <cfRule type="aboveAverage" dxfId="198" priority="272"/>
  </conditionalFormatting>
  <conditionalFormatting sqref="E89 E91">
    <cfRule type="containsBlanks" dxfId="197" priority="271">
      <formula>LEN(TRIM(E89))=0</formula>
    </cfRule>
  </conditionalFormatting>
  <conditionalFormatting sqref="E97 E99">
    <cfRule type="aboveAverage" dxfId="196" priority="270"/>
  </conditionalFormatting>
  <conditionalFormatting sqref="E97 E99">
    <cfRule type="containsBlanks" dxfId="195" priority="269">
      <formula>LEN(TRIM(E97))=0</formula>
    </cfRule>
  </conditionalFormatting>
  <conditionalFormatting sqref="E105 E107">
    <cfRule type="aboveAverage" dxfId="194" priority="268"/>
  </conditionalFormatting>
  <conditionalFormatting sqref="E105 E107">
    <cfRule type="containsBlanks" dxfId="193" priority="267">
      <formula>LEN(TRIM(E105))=0</formula>
    </cfRule>
  </conditionalFormatting>
  <conditionalFormatting sqref="E9 E13">
    <cfRule type="containsBlanks" dxfId="192" priority="265">
      <formula>LEN(TRIM(E9))=0</formula>
    </cfRule>
    <cfRule type="aboveAverage" dxfId="191" priority="266"/>
  </conditionalFormatting>
  <conditionalFormatting sqref="E17 E21">
    <cfRule type="containsBlanks" dxfId="190" priority="261">
      <formula>LEN(TRIM(E17))=0</formula>
    </cfRule>
    <cfRule type="aboveAverage" dxfId="189" priority="262"/>
  </conditionalFormatting>
  <conditionalFormatting sqref="N82 N84">
    <cfRule type="containsBlanks" dxfId="188" priority="217">
      <formula>LEN(TRIM(N82))=0</formula>
    </cfRule>
  </conditionalFormatting>
  <conditionalFormatting sqref="N89 N91">
    <cfRule type="containsBlanks" dxfId="187" priority="215">
      <formula>LEN(TRIM(N89))=0</formula>
    </cfRule>
  </conditionalFormatting>
  <conditionalFormatting sqref="N113">
    <cfRule type="containsBlanks" dxfId="186" priority="209">
      <formula>LEN(TRIM(N113))=0</formula>
    </cfRule>
  </conditionalFormatting>
  <conditionalFormatting sqref="N117">
    <cfRule type="containsBlanks" dxfId="185" priority="207">
      <formula>LEN(TRIM(N117))=0</formula>
    </cfRule>
  </conditionalFormatting>
  <conditionalFormatting sqref="L97 L99">
    <cfRule type="containsBlanks" dxfId="184" priority="201">
      <formula>LEN(TRIM(L97))=0</formula>
    </cfRule>
  </conditionalFormatting>
  <conditionalFormatting sqref="L101 L103">
    <cfRule type="containsBlanks" dxfId="183" priority="199">
      <formula>LEN(TRIM(L101))=0</formula>
    </cfRule>
  </conditionalFormatting>
  <conditionalFormatting sqref="N82 N84">
    <cfRule type="aboveAverage" dxfId="182" priority="218"/>
  </conditionalFormatting>
  <conditionalFormatting sqref="N89 N91">
    <cfRule type="aboveAverage" dxfId="181" priority="216"/>
  </conditionalFormatting>
  <conditionalFormatting sqref="N105 N107">
    <cfRule type="aboveAverage" dxfId="180" priority="214"/>
  </conditionalFormatting>
  <conditionalFormatting sqref="N105 N107">
    <cfRule type="containsBlanks" dxfId="179" priority="213">
      <formula>LEN(TRIM(N105))=0</formula>
    </cfRule>
  </conditionalFormatting>
  <conditionalFormatting sqref="N120 N122">
    <cfRule type="aboveAverage" dxfId="178" priority="212"/>
  </conditionalFormatting>
  <conditionalFormatting sqref="N120 N122">
    <cfRule type="containsBlanks" dxfId="177" priority="211">
      <formula>LEN(TRIM(N120))=0</formula>
    </cfRule>
  </conditionalFormatting>
  <conditionalFormatting sqref="N113">
    <cfRule type="aboveAverage" dxfId="176" priority="210"/>
  </conditionalFormatting>
  <conditionalFormatting sqref="N117">
    <cfRule type="aboveAverage" dxfId="175" priority="208"/>
  </conditionalFormatting>
  <conditionalFormatting sqref="N98">
    <cfRule type="aboveAverage" dxfId="174" priority="206"/>
  </conditionalFormatting>
  <conditionalFormatting sqref="N98">
    <cfRule type="containsBlanks" dxfId="173" priority="205">
      <formula>LEN(TRIM(N98))=0</formula>
    </cfRule>
  </conditionalFormatting>
  <conditionalFormatting sqref="N102">
    <cfRule type="aboveAverage" dxfId="172" priority="204"/>
  </conditionalFormatting>
  <conditionalFormatting sqref="N102">
    <cfRule type="containsBlanks" dxfId="171" priority="203">
      <formula>LEN(TRIM(N102))=0</formula>
    </cfRule>
  </conditionalFormatting>
  <conditionalFormatting sqref="L97 L99">
    <cfRule type="aboveAverage" dxfId="170" priority="202"/>
  </conditionalFormatting>
  <conditionalFormatting sqref="L101 L103">
    <cfRule type="aboveAverage" dxfId="169" priority="200"/>
  </conditionalFormatting>
  <conditionalFormatting sqref="L112 L114">
    <cfRule type="aboveAverage" dxfId="168" priority="198"/>
  </conditionalFormatting>
  <conditionalFormatting sqref="L112 L114">
    <cfRule type="containsBlanks" dxfId="167" priority="197">
      <formula>LEN(TRIM(L112))=0</formula>
    </cfRule>
  </conditionalFormatting>
  <conditionalFormatting sqref="L116 L118">
    <cfRule type="aboveAverage" dxfId="166" priority="196"/>
  </conditionalFormatting>
  <conditionalFormatting sqref="L116 L118">
    <cfRule type="containsBlanks" dxfId="165" priority="195">
      <formula>LEN(TRIM(L116))=0</formula>
    </cfRule>
  </conditionalFormatting>
  <conditionalFormatting sqref="K128 K130">
    <cfRule type="aboveAverage" dxfId="164" priority="194"/>
  </conditionalFormatting>
  <conditionalFormatting sqref="K128 K130">
    <cfRule type="containsBlanks" dxfId="163" priority="193">
      <formula>LEN(TRIM(K128))=0</formula>
    </cfRule>
  </conditionalFormatting>
  <conditionalFormatting sqref="K136 K138">
    <cfRule type="aboveAverage" dxfId="162" priority="192"/>
  </conditionalFormatting>
  <conditionalFormatting sqref="K136 K138">
    <cfRule type="containsBlanks" dxfId="161" priority="191">
      <formula>LEN(TRIM(K136))=0</formula>
    </cfRule>
  </conditionalFormatting>
  <conditionalFormatting sqref="K132 K134">
    <cfRule type="aboveAverage" dxfId="160" priority="190"/>
  </conditionalFormatting>
  <conditionalFormatting sqref="K132 K134">
    <cfRule type="containsBlanks" dxfId="159" priority="189">
      <formula>LEN(TRIM(K132))=0</formula>
    </cfRule>
  </conditionalFormatting>
  <conditionalFormatting sqref="K140 K142">
    <cfRule type="aboveAverage" dxfId="158" priority="188"/>
  </conditionalFormatting>
  <conditionalFormatting sqref="K140 K142">
    <cfRule type="containsBlanks" dxfId="157" priority="187">
      <formula>LEN(TRIM(K140))=0</formula>
    </cfRule>
  </conditionalFormatting>
  <conditionalFormatting sqref="L129">
    <cfRule type="aboveAverage" dxfId="156" priority="186"/>
  </conditionalFormatting>
  <conditionalFormatting sqref="L129">
    <cfRule type="containsBlanks" dxfId="155" priority="185">
      <formula>LEN(TRIM(L129))=0</formula>
    </cfRule>
  </conditionalFormatting>
  <conditionalFormatting sqref="L133">
    <cfRule type="aboveAverage" dxfId="154" priority="184"/>
  </conditionalFormatting>
  <conditionalFormatting sqref="L133">
    <cfRule type="containsBlanks" dxfId="153" priority="183">
      <formula>LEN(TRIM(L133))=0</formula>
    </cfRule>
  </conditionalFormatting>
  <conditionalFormatting sqref="L137">
    <cfRule type="aboveAverage" dxfId="152" priority="182"/>
  </conditionalFormatting>
  <conditionalFormatting sqref="L137">
    <cfRule type="containsBlanks" dxfId="151" priority="181">
      <formula>LEN(TRIM(L137))=0</formula>
    </cfRule>
  </conditionalFormatting>
  <conditionalFormatting sqref="L141">
    <cfRule type="aboveAverage" dxfId="150" priority="180"/>
  </conditionalFormatting>
  <conditionalFormatting sqref="L141">
    <cfRule type="containsBlanks" dxfId="149" priority="179">
      <formula>LEN(TRIM(L141))=0</formula>
    </cfRule>
  </conditionalFormatting>
  <conditionalFormatting sqref="N131">
    <cfRule type="aboveAverage" dxfId="148" priority="174"/>
  </conditionalFormatting>
  <conditionalFormatting sqref="N131">
    <cfRule type="containsBlanks" dxfId="147" priority="173">
      <formula>LEN(TRIM(N131))=0</formula>
    </cfRule>
  </conditionalFormatting>
  <conditionalFormatting sqref="N139">
    <cfRule type="aboveAverage" dxfId="146" priority="172"/>
  </conditionalFormatting>
  <conditionalFormatting sqref="F11 F19">
    <cfRule type="containsBlanks" dxfId="145" priority="167">
      <formula>LEN(TRIM(F11))=0</formula>
    </cfRule>
    <cfRule type="aboveAverage" dxfId="144" priority="168"/>
  </conditionalFormatting>
  <conditionalFormatting sqref="L155 L157">
    <cfRule type="containsBlanks" dxfId="143" priority="99">
      <formula>LEN(TRIM(L155))=0</formula>
    </cfRule>
  </conditionalFormatting>
  <conditionalFormatting sqref="G15 G31">
    <cfRule type="containsBlanks" dxfId="142" priority="133">
      <formula>LEN(TRIM(G15))=0</formula>
    </cfRule>
    <cfRule type="aboveAverage" dxfId="141" priority="134"/>
  </conditionalFormatting>
  <conditionalFormatting sqref="H23 H56">
    <cfRule type="containsBlanks" dxfId="140" priority="125">
      <formula>LEN(TRIM(H23))=0</formula>
    </cfRule>
    <cfRule type="aboveAverage" dxfId="139" priority="126"/>
  </conditionalFormatting>
  <conditionalFormatting sqref="L40 L80">
    <cfRule type="containsBlanks" dxfId="138" priority="111">
      <formula>LEN(TRIM(L40))=0</formula>
    </cfRule>
    <cfRule type="aboveAverage" dxfId="137" priority="112"/>
  </conditionalFormatting>
  <conditionalFormatting sqref="N159 N161">
    <cfRule type="aboveAverage" dxfId="136" priority="108"/>
  </conditionalFormatting>
  <conditionalFormatting sqref="N159 N161">
    <cfRule type="containsBlanks" dxfId="135" priority="107">
      <formula>LEN(TRIM(N159))=0</formula>
    </cfRule>
  </conditionalFormatting>
  <conditionalFormatting sqref="N152">
    <cfRule type="aboveAverage" dxfId="134" priority="106"/>
  </conditionalFormatting>
  <conditionalFormatting sqref="N152">
    <cfRule type="containsBlanks" dxfId="133" priority="105">
      <formula>LEN(TRIM(N152))=0</formula>
    </cfRule>
  </conditionalFormatting>
  <conditionalFormatting sqref="N156">
    <cfRule type="aboveAverage" dxfId="132" priority="104"/>
  </conditionalFormatting>
  <conditionalFormatting sqref="N156">
    <cfRule type="containsBlanks" dxfId="131" priority="103">
      <formula>LEN(TRIM(N156))=0</formula>
    </cfRule>
  </conditionalFormatting>
  <conditionalFormatting sqref="L151 L153">
    <cfRule type="aboveAverage" dxfId="130" priority="102"/>
  </conditionalFormatting>
  <conditionalFormatting sqref="L151 L153">
    <cfRule type="containsBlanks" dxfId="129" priority="101">
      <formula>LEN(TRIM(L151))=0</formula>
    </cfRule>
  </conditionalFormatting>
  <conditionalFormatting sqref="L155 L157">
    <cfRule type="aboveAverage" dxfId="128" priority="100"/>
  </conditionalFormatting>
  <conditionalFormatting sqref="N144 N146">
    <cfRule type="containsBlanks" dxfId="127" priority="97">
      <formula>LEN(TRIM(N144))=0</formula>
    </cfRule>
  </conditionalFormatting>
  <conditionalFormatting sqref="N144 N146">
    <cfRule type="aboveAverage" dxfId="126" priority="98"/>
  </conditionalFormatting>
  <conditionalFormatting sqref="B336:B402 B300:B333">
    <cfRule type="containsBlanks" dxfId="125" priority="2920">
      <formula>LEN(TRIM(B300))=0</formula>
    </cfRule>
    <cfRule type="duplicateValues" dxfId="124" priority="2921"/>
  </conditionalFormatting>
  <conditionalFormatting sqref="N178">
    <cfRule type="containsBlanks" dxfId="123" priority="77">
      <formula>LEN(TRIM(N178))=0</formula>
    </cfRule>
  </conditionalFormatting>
  <conditionalFormatting sqref="K167 K169">
    <cfRule type="aboveAverage" dxfId="122" priority="96"/>
  </conditionalFormatting>
  <conditionalFormatting sqref="K167 K169">
    <cfRule type="containsBlanks" dxfId="121" priority="95">
      <formula>LEN(TRIM(K167))=0</formula>
    </cfRule>
  </conditionalFormatting>
  <conditionalFormatting sqref="K175 K177">
    <cfRule type="aboveAverage" dxfId="120" priority="94"/>
  </conditionalFormatting>
  <conditionalFormatting sqref="K175 K177">
    <cfRule type="containsBlanks" dxfId="119" priority="93">
      <formula>LEN(TRIM(K175))=0</formula>
    </cfRule>
  </conditionalFormatting>
  <conditionalFormatting sqref="K171 K173">
    <cfRule type="aboveAverage" dxfId="118" priority="92"/>
  </conditionalFormatting>
  <conditionalFormatting sqref="K171 K173">
    <cfRule type="containsBlanks" dxfId="117" priority="91">
      <formula>LEN(TRIM(K171))=0</formula>
    </cfRule>
  </conditionalFormatting>
  <conditionalFormatting sqref="K179 K181">
    <cfRule type="aboveAverage" dxfId="116" priority="90"/>
  </conditionalFormatting>
  <conditionalFormatting sqref="K179 K181">
    <cfRule type="containsBlanks" dxfId="115" priority="89">
      <formula>LEN(TRIM(K179))=0</formula>
    </cfRule>
  </conditionalFormatting>
  <conditionalFormatting sqref="L168">
    <cfRule type="aboveAverage" dxfId="114" priority="88"/>
  </conditionalFormatting>
  <conditionalFormatting sqref="L168">
    <cfRule type="containsBlanks" dxfId="113" priority="87">
      <formula>LEN(TRIM(L168))=0</formula>
    </cfRule>
  </conditionalFormatting>
  <conditionalFormatting sqref="L172">
    <cfRule type="aboveAverage" dxfId="112" priority="86"/>
  </conditionalFormatting>
  <conditionalFormatting sqref="L172">
    <cfRule type="containsBlanks" dxfId="111" priority="85">
      <formula>LEN(TRIM(L172))=0</formula>
    </cfRule>
  </conditionalFormatting>
  <conditionalFormatting sqref="L176">
    <cfRule type="aboveAverage" dxfId="110" priority="84"/>
  </conditionalFormatting>
  <conditionalFormatting sqref="L176">
    <cfRule type="containsBlanks" dxfId="109" priority="83">
      <formula>LEN(TRIM(L176))=0</formula>
    </cfRule>
  </conditionalFormatting>
  <conditionalFormatting sqref="L180">
    <cfRule type="aboveAverage" dxfId="108" priority="82"/>
  </conditionalFormatting>
  <conditionalFormatting sqref="L180">
    <cfRule type="containsBlanks" dxfId="107" priority="81">
      <formula>LEN(TRIM(L180))=0</formula>
    </cfRule>
  </conditionalFormatting>
  <conditionalFormatting sqref="N170">
    <cfRule type="aboveAverage" dxfId="106" priority="80"/>
  </conditionalFormatting>
  <conditionalFormatting sqref="N170">
    <cfRule type="containsBlanks" dxfId="105" priority="79">
      <formula>LEN(TRIM(N170))=0</formula>
    </cfRule>
  </conditionalFormatting>
  <conditionalFormatting sqref="N178">
    <cfRule type="aboveAverage" dxfId="104" priority="78"/>
  </conditionalFormatting>
  <conditionalFormatting sqref="L193 L195">
    <cfRule type="containsBlanks" dxfId="103" priority="67">
      <formula>LEN(TRIM(L193))=0</formula>
    </cfRule>
  </conditionalFormatting>
  <conditionalFormatting sqref="N197 N199">
    <cfRule type="aboveAverage" dxfId="102" priority="76"/>
  </conditionalFormatting>
  <conditionalFormatting sqref="N197 N199">
    <cfRule type="containsBlanks" dxfId="101" priority="75">
      <formula>LEN(TRIM(N197))=0</formula>
    </cfRule>
  </conditionalFormatting>
  <conditionalFormatting sqref="N190">
    <cfRule type="aboveAverage" dxfId="100" priority="74"/>
  </conditionalFormatting>
  <conditionalFormatting sqref="N190">
    <cfRule type="containsBlanks" dxfId="99" priority="73">
      <formula>LEN(TRIM(N190))=0</formula>
    </cfRule>
  </conditionalFormatting>
  <conditionalFormatting sqref="N194">
    <cfRule type="aboveAverage" dxfId="98" priority="72"/>
  </conditionalFormatting>
  <conditionalFormatting sqref="N194">
    <cfRule type="containsBlanks" dxfId="97" priority="71">
      <formula>LEN(TRIM(N194))=0</formula>
    </cfRule>
  </conditionalFormatting>
  <conditionalFormatting sqref="L189 L191">
    <cfRule type="aboveAverage" dxfId="96" priority="70"/>
  </conditionalFormatting>
  <conditionalFormatting sqref="L189 L191">
    <cfRule type="containsBlanks" dxfId="95" priority="69">
      <formula>LEN(TRIM(L189))=0</formula>
    </cfRule>
  </conditionalFormatting>
  <conditionalFormatting sqref="L193 L195">
    <cfRule type="aboveAverage" dxfId="94" priority="68"/>
  </conditionalFormatting>
  <conditionalFormatting sqref="N182 N184">
    <cfRule type="containsBlanks" dxfId="93" priority="65">
      <formula>LEN(TRIM(N182))=0</formula>
    </cfRule>
  </conditionalFormatting>
  <conditionalFormatting sqref="N182 N184">
    <cfRule type="aboveAverage" dxfId="92" priority="66"/>
  </conditionalFormatting>
  <conditionalFormatting sqref="F102">
    <cfRule type="aboveAverage" dxfId="91" priority="54"/>
  </conditionalFormatting>
  <conditionalFormatting sqref="F102 F106">
    <cfRule type="aboveAverage" dxfId="90" priority="52"/>
    <cfRule type="containsBlanks" dxfId="89" priority="53">
      <formula>LEN(TRIM(F102))=0</formula>
    </cfRule>
  </conditionalFormatting>
  <conditionalFormatting sqref="F94">
    <cfRule type="aboveAverage" dxfId="88" priority="51"/>
  </conditionalFormatting>
  <conditionalFormatting sqref="F94 F98">
    <cfRule type="aboveAverage" dxfId="87" priority="49"/>
    <cfRule type="containsBlanks" dxfId="86" priority="50">
      <formula>LEN(TRIM(F94))=0</formula>
    </cfRule>
  </conditionalFormatting>
  <conditionalFormatting sqref="F86">
    <cfRule type="aboveAverage" dxfId="85" priority="48"/>
  </conditionalFormatting>
  <conditionalFormatting sqref="F86 F90">
    <cfRule type="aboveAverage" dxfId="84" priority="46"/>
    <cfRule type="containsBlanks" dxfId="83" priority="47">
      <formula>LEN(TRIM(F86))=0</formula>
    </cfRule>
  </conditionalFormatting>
  <conditionalFormatting sqref="F78">
    <cfRule type="aboveAverage" dxfId="82" priority="45"/>
  </conditionalFormatting>
  <conditionalFormatting sqref="F78 F82">
    <cfRule type="aboveAverage" dxfId="81" priority="43"/>
    <cfRule type="containsBlanks" dxfId="80" priority="44">
      <formula>LEN(TRIM(F78))=0</formula>
    </cfRule>
  </conditionalFormatting>
  <conditionalFormatting sqref="G92 G96">
    <cfRule type="containsBlanks" dxfId="79" priority="41">
      <formula>LEN(TRIM(G92))=0</formula>
    </cfRule>
    <cfRule type="aboveAverage" dxfId="78" priority="42"/>
  </conditionalFormatting>
  <conditionalFormatting sqref="G100 G104">
    <cfRule type="containsBlanks" dxfId="77" priority="39">
      <formula>LEN(TRIM(G100))=0</formula>
    </cfRule>
    <cfRule type="aboveAverage" dxfId="76" priority="40"/>
  </conditionalFormatting>
  <conditionalFormatting sqref="G76 G80">
    <cfRule type="containsBlanks" dxfId="75" priority="37">
      <formula>LEN(TRIM(G76))=0</formula>
    </cfRule>
    <cfRule type="aboveAverage" dxfId="74" priority="38"/>
  </conditionalFormatting>
  <conditionalFormatting sqref="G84 G88">
    <cfRule type="containsBlanks" dxfId="73" priority="35">
      <formula>LEN(TRIM(G84))=0</formula>
    </cfRule>
    <cfRule type="aboveAverage" dxfId="72" priority="36"/>
  </conditionalFormatting>
  <conditionalFormatting sqref="H78 H86">
    <cfRule type="containsBlanks" dxfId="71" priority="33">
      <formula>LEN(TRIM(H78))=0</formula>
    </cfRule>
    <cfRule type="aboveAverage" dxfId="70" priority="34"/>
  </conditionalFormatting>
  <conditionalFormatting sqref="H94 H102">
    <cfRule type="containsBlanks" dxfId="69" priority="31">
      <formula>LEN(TRIM(H94))=0</formula>
    </cfRule>
    <cfRule type="aboveAverage" dxfId="68" priority="32"/>
  </conditionalFormatting>
  <conditionalFormatting sqref="I75 I82">
    <cfRule type="containsBlanks" dxfId="67" priority="29">
      <formula>LEN(TRIM(I75))=0</formula>
    </cfRule>
    <cfRule type="aboveAverage" dxfId="66" priority="30"/>
  </conditionalFormatting>
  <conditionalFormatting sqref="I91 I98">
    <cfRule type="containsBlanks" dxfId="65" priority="27">
      <formula>LEN(TRIM(I91))=0</formula>
    </cfRule>
    <cfRule type="aboveAverage" dxfId="64" priority="28"/>
  </conditionalFormatting>
  <conditionalFormatting sqref="J79 J95">
    <cfRule type="containsBlanks" dxfId="63" priority="25">
      <formula>LEN(TRIM(J79))=0</formula>
    </cfRule>
    <cfRule type="aboveAverage" dxfId="62" priority="26"/>
  </conditionalFormatting>
  <conditionalFormatting sqref="K73 K87">
    <cfRule type="containsBlanks" dxfId="61" priority="23">
      <formula>LEN(TRIM(K73))=0</formula>
    </cfRule>
    <cfRule type="aboveAverage" dxfId="60" priority="24"/>
  </conditionalFormatting>
  <conditionalFormatting sqref="F27 F35">
    <cfRule type="containsBlanks" dxfId="59" priority="21">
      <formula>LEN(TRIM(F27))=0</formula>
    </cfRule>
    <cfRule type="aboveAverage" dxfId="58" priority="22"/>
  </conditionalFormatting>
  <conditionalFormatting sqref="F44 F52">
    <cfRule type="containsBlanks" dxfId="57" priority="19">
      <formula>LEN(TRIM(F44))=0</formula>
    </cfRule>
    <cfRule type="aboveAverage" dxfId="56" priority="20"/>
  </conditionalFormatting>
  <conditionalFormatting sqref="F60 F68">
    <cfRule type="containsBlanks" dxfId="55" priority="17">
      <formula>LEN(TRIM(F60))=0</formula>
    </cfRule>
    <cfRule type="aboveAverage" dxfId="54" priority="18"/>
  </conditionalFormatting>
  <conditionalFormatting sqref="N65 N69">
    <cfRule type="containsBlanks" dxfId="53" priority="15">
      <formula>LEN(TRIM(N65))=0</formula>
    </cfRule>
    <cfRule type="aboveAverage" dxfId="52" priority="16"/>
  </conditionalFormatting>
  <conditionalFormatting sqref="G48 G64">
    <cfRule type="containsBlanks" dxfId="51" priority="13">
      <formula>LEN(TRIM(G48))=0</formula>
    </cfRule>
    <cfRule type="aboveAverage" dxfId="50" priority="14"/>
  </conditionalFormatting>
  <conditionalFormatting sqref="E25 E29">
    <cfRule type="containsBlanks" dxfId="49" priority="11">
      <formula>LEN(TRIM(E25))=0</formula>
    </cfRule>
    <cfRule type="aboveAverage" dxfId="48" priority="12"/>
  </conditionalFormatting>
  <conditionalFormatting sqref="E33 E37">
    <cfRule type="containsBlanks" dxfId="47" priority="9">
      <formula>LEN(TRIM(E33))=0</formula>
    </cfRule>
    <cfRule type="aboveAverage" dxfId="46" priority="10"/>
  </conditionalFormatting>
  <conditionalFormatting sqref="E42 E46">
    <cfRule type="containsBlanks" dxfId="45" priority="7">
      <formula>LEN(TRIM(E42))=0</formula>
    </cfRule>
    <cfRule type="aboveAverage" dxfId="44" priority="8"/>
  </conditionalFormatting>
  <conditionalFormatting sqref="E50 E54">
    <cfRule type="containsBlanks" dxfId="43" priority="5">
      <formula>LEN(TRIM(E50))=0</formula>
    </cfRule>
    <cfRule type="aboveAverage" dxfId="42" priority="6"/>
  </conditionalFormatting>
  <conditionalFormatting sqref="E58 E62">
    <cfRule type="containsBlanks" dxfId="41" priority="3">
      <formula>LEN(TRIM(E58))=0</formula>
    </cfRule>
    <cfRule type="aboveAverage" dxfId="40" priority="4"/>
  </conditionalFormatting>
  <conditionalFormatting sqref="E66 E70">
    <cfRule type="containsBlanks" dxfId="39" priority="1">
      <formula>LEN(TRIM(E66))=0</formula>
    </cfRule>
    <cfRule type="aboveAverage" dxfId="38" priority="2"/>
  </conditionalFormatting>
  <pageMargins left="0.39370078740157483" right="0.31496062992125984" top="0.59055118110236227" bottom="0.39370078740157483" header="0.39370078740157483" footer="0"/>
  <pageSetup paperSize="9" fitToHeight="0" orientation="landscape" r:id="rId1"/>
  <headerFooter>
    <oddHeader>&amp;R&amp;"Arial,Regular"&amp;9Page &amp;P of &amp;N</oddHeader>
  </headerFooter>
  <rowBreaks count="4" manualBreakCount="4">
    <brk id="38" max="14" man="1"/>
    <brk id="71" max="14" man="1"/>
    <brk id="125" max="14" man="1"/>
    <brk id="296"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50"/>
  </sheetPr>
  <dimension ref="A1:AK40"/>
  <sheetViews>
    <sheetView showGridLines="0" showRowColHeaders="0" workbookViewId="0">
      <pane ySplit="2" topLeftCell="A3" activePane="bottomLeft" state="frozen"/>
      <selection pane="bottomLeft" activeCell="AA1" sqref="AA1"/>
    </sheetView>
  </sheetViews>
  <sheetFormatPr defaultRowHeight="12.75" x14ac:dyDescent="0.2"/>
  <cols>
    <col min="1" max="1" width="3.28515625" style="668" customWidth="1"/>
    <col min="2" max="2" width="18.42578125" style="668" customWidth="1"/>
    <col min="3" max="3" width="2.28515625" style="668" hidden="1" customWidth="1"/>
    <col min="4" max="4" width="2" style="668" hidden="1" customWidth="1"/>
    <col min="5" max="5" width="2.28515625" style="668" hidden="1" customWidth="1"/>
    <col min="6" max="6" width="3.28515625" style="668" bestFit="1" customWidth="1"/>
    <col min="7" max="26" width="2.7109375" style="668" customWidth="1"/>
    <col min="27" max="27" width="3.28515625" style="668" customWidth="1"/>
    <col min="28" max="28" width="18" style="293" customWidth="1"/>
    <col min="29" max="29" width="6.5703125" style="668" bestFit="1" customWidth="1"/>
    <col min="30" max="30" width="5.140625" style="668" bestFit="1" customWidth="1"/>
    <col min="31" max="31" width="5.7109375" style="668" bestFit="1" customWidth="1"/>
    <col min="32" max="32" width="5.5703125" style="668" bestFit="1" customWidth="1"/>
    <col min="33" max="34" width="8.7109375" style="668" customWidth="1"/>
    <col min="35" max="35" width="4.85546875" style="668" bestFit="1" customWidth="1"/>
    <col min="36" max="36" width="5.28515625" style="668" bestFit="1" customWidth="1"/>
    <col min="37" max="37" width="5.140625" style="668" bestFit="1" customWidth="1"/>
    <col min="38" max="16384" width="9.140625" style="668"/>
  </cols>
  <sheetData>
    <row r="1" spans="1:37" x14ac:dyDescent="0.2">
      <c r="A1" s="31" t="str">
        <f>UPPER((Kalend!E46)&amp;" - "&amp;(Kalend!C46)&amp;" - "&amp;(Kalend!D46))</f>
        <v>V-F-PL - VOKA PLIKS-PLAKS - ÜKSIK</v>
      </c>
      <c r="M1" s="1336"/>
      <c r="N1" s="1338" t="s">
        <v>446</v>
      </c>
      <c r="O1" s="155">
        <v>2</v>
      </c>
      <c r="P1" s="668" t="s">
        <v>493</v>
      </c>
      <c r="U1" s="28" t="str">
        <f>HYPERLINK("#Kalend!I1","Kalender")</f>
        <v>Kalender</v>
      </c>
      <c r="V1" s="2"/>
      <c r="AA1" s="2"/>
      <c r="AB1" s="668"/>
    </row>
    <row r="2" spans="1:37" x14ac:dyDescent="0.2">
      <c r="A2" s="2" t="str">
        <f>"Toimumisaeg: "&amp;(Kalend!A46)&amp;" kell "&amp;(Kalend!B46)</f>
        <v>Toimumisaeg: P, 23.09.2018 kell 11:00</v>
      </c>
      <c r="M2" s="157"/>
      <c r="N2" s="1342" t="s">
        <v>447</v>
      </c>
      <c r="O2" s="155">
        <v>1</v>
      </c>
      <c r="P2" s="668" t="s">
        <v>513</v>
      </c>
    </row>
    <row r="3" spans="1:37" x14ac:dyDescent="0.2">
      <c r="A3" s="2" t="str">
        <f>"Toimumiskoht: "&amp;(Kalend!F46)</f>
        <v>Toimumiskoht: Voka staadion</v>
      </c>
      <c r="M3" s="1363"/>
      <c r="N3" s="1340" t="s">
        <v>448</v>
      </c>
      <c r="O3" s="155">
        <v>0</v>
      </c>
      <c r="P3" s="668" t="s">
        <v>493</v>
      </c>
    </row>
    <row r="4" spans="1:37" x14ac:dyDescent="0.2">
      <c r="A4" s="2" t="str">
        <f>"Korraldaja: "&amp;(Kalend!G46)</f>
        <v>Korraldaja: Johannes Neiland</v>
      </c>
    </row>
    <row r="6" spans="1:37" x14ac:dyDescent="0.2">
      <c r="A6" s="693" t="s">
        <v>24</v>
      </c>
      <c r="B6" s="47" t="s">
        <v>14</v>
      </c>
      <c r="C6" s="47" t="s">
        <v>83</v>
      </c>
      <c r="D6" s="47" t="s">
        <v>84</v>
      </c>
      <c r="E6" s="47" t="s">
        <v>13</v>
      </c>
      <c r="F6" s="47" t="s">
        <v>24</v>
      </c>
      <c r="G6" s="47">
        <v>1</v>
      </c>
      <c r="H6" s="47">
        <v>2</v>
      </c>
      <c r="I6" s="47">
        <v>3</v>
      </c>
      <c r="J6" s="47">
        <v>4</v>
      </c>
      <c r="K6" s="47">
        <v>5</v>
      </c>
      <c r="L6" s="47">
        <v>6</v>
      </c>
      <c r="M6" s="47">
        <v>7</v>
      </c>
      <c r="N6" s="47">
        <v>8</v>
      </c>
      <c r="O6" s="47">
        <v>9</v>
      </c>
      <c r="P6" s="47">
        <v>10</v>
      </c>
      <c r="Q6" s="47">
        <v>11</v>
      </c>
      <c r="R6" s="47">
        <v>12</v>
      </c>
      <c r="S6" s="47">
        <v>13</v>
      </c>
      <c r="T6" s="47">
        <v>14</v>
      </c>
      <c r="U6" s="47">
        <v>15</v>
      </c>
      <c r="V6" s="47">
        <v>16</v>
      </c>
      <c r="W6" s="47">
        <v>17</v>
      </c>
      <c r="X6" s="47">
        <v>18</v>
      </c>
      <c r="Y6" s="47">
        <v>19</v>
      </c>
      <c r="Z6" s="47">
        <v>20</v>
      </c>
      <c r="AA6" s="47" t="s">
        <v>24</v>
      </c>
      <c r="AB6" s="47" t="s">
        <v>14</v>
      </c>
      <c r="AC6" s="47" t="s">
        <v>25</v>
      </c>
      <c r="AD6" s="47" t="s">
        <v>26</v>
      </c>
      <c r="AE6" s="657" t="s">
        <v>12</v>
      </c>
      <c r="AF6" s="657" t="s">
        <v>27</v>
      </c>
      <c r="AG6" s="657" t="s">
        <v>677</v>
      </c>
      <c r="AH6" s="657" t="s">
        <v>677</v>
      </c>
    </row>
    <row r="7" spans="1:37" x14ac:dyDescent="0.2">
      <c r="A7" s="694">
        <v>1</v>
      </c>
      <c r="B7" s="38" t="s">
        <v>93</v>
      </c>
      <c r="C7" s="40"/>
      <c r="D7" s="40"/>
      <c r="E7" s="40"/>
      <c r="F7" s="48">
        <v>1</v>
      </c>
      <c r="G7" s="39"/>
      <c r="H7" s="40">
        <v>3</v>
      </c>
      <c r="I7" s="40">
        <v>2</v>
      </c>
      <c r="J7" s="40">
        <v>1</v>
      </c>
      <c r="K7" s="40">
        <v>3</v>
      </c>
      <c r="L7" s="40">
        <v>0</v>
      </c>
      <c r="M7" s="40">
        <v>2</v>
      </c>
      <c r="N7" s="40">
        <v>2</v>
      </c>
      <c r="O7" s="40">
        <v>3</v>
      </c>
      <c r="P7" s="40">
        <v>1</v>
      </c>
      <c r="Q7" s="40">
        <v>0</v>
      </c>
      <c r="R7" s="40">
        <v>0</v>
      </c>
      <c r="S7" s="40">
        <v>0</v>
      </c>
      <c r="T7" s="40">
        <v>3</v>
      </c>
      <c r="U7" s="40">
        <v>3</v>
      </c>
      <c r="V7" s="40">
        <v>0</v>
      </c>
      <c r="W7" s="40">
        <v>2</v>
      </c>
      <c r="X7" s="40">
        <v>0</v>
      </c>
      <c r="Y7" s="40">
        <v>1</v>
      </c>
      <c r="Z7" s="40">
        <v>2</v>
      </c>
      <c r="AA7" s="48">
        <v>1</v>
      </c>
      <c r="AB7" s="661" t="str">
        <f t="shared" ref="AB7:AB26" si="0">B7</f>
        <v>Jaan Sepp</v>
      </c>
      <c r="AC7" s="29">
        <f t="shared" ref="AC7:AC26" si="1">AE7*O$1+AF7*O$2+AG7*0.001+AH7*0.0001</f>
        <v>19.0002</v>
      </c>
      <c r="AD7" s="41">
        <f t="shared" ref="AD7:AD26" si="2">RANK(AC7,AC$7:AC$26,0)</f>
        <v>11</v>
      </c>
      <c r="AE7" s="658">
        <v>8</v>
      </c>
      <c r="AF7" s="659">
        <v>3</v>
      </c>
      <c r="AG7" s="155"/>
      <c r="AH7" s="954">
        <v>2</v>
      </c>
      <c r="AI7" s="155"/>
      <c r="AJ7" s="155"/>
      <c r="AK7" s="155"/>
    </row>
    <row r="8" spans="1:37" x14ac:dyDescent="0.2">
      <c r="A8" s="694">
        <v>2</v>
      </c>
      <c r="B8" s="38" t="s">
        <v>262</v>
      </c>
      <c r="C8" s="36"/>
      <c r="D8" s="36"/>
      <c r="E8" s="36"/>
      <c r="F8" s="48">
        <v>2</v>
      </c>
      <c r="G8" s="40">
        <v>0</v>
      </c>
      <c r="H8" s="39"/>
      <c r="I8" s="40">
        <v>2</v>
      </c>
      <c r="J8" s="40">
        <v>1</v>
      </c>
      <c r="K8" s="40">
        <v>1</v>
      </c>
      <c r="L8" s="40">
        <v>1</v>
      </c>
      <c r="M8" s="40">
        <v>3</v>
      </c>
      <c r="N8" s="40">
        <v>2</v>
      </c>
      <c r="O8" s="40">
        <v>1</v>
      </c>
      <c r="P8" s="40">
        <v>0</v>
      </c>
      <c r="Q8" s="40">
        <v>1</v>
      </c>
      <c r="R8" s="40">
        <v>0</v>
      </c>
      <c r="S8" s="40">
        <v>2</v>
      </c>
      <c r="T8" s="40">
        <v>1</v>
      </c>
      <c r="U8" s="40">
        <v>5</v>
      </c>
      <c r="V8" s="40">
        <v>3</v>
      </c>
      <c r="W8" s="40">
        <v>1</v>
      </c>
      <c r="X8" s="40">
        <v>2</v>
      </c>
      <c r="Y8" s="40">
        <v>0</v>
      </c>
      <c r="Z8" s="40">
        <v>1</v>
      </c>
      <c r="AA8" s="48">
        <v>2</v>
      </c>
      <c r="AB8" s="661" t="str">
        <f t="shared" si="0"/>
        <v>Toomas Tedrekull</v>
      </c>
      <c r="AC8" s="29">
        <f t="shared" si="1"/>
        <v>19</v>
      </c>
      <c r="AD8" s="41">
        <f t="shared" si="2"/>
        <v>12</v>
      </c>
      <c r="AE8" s="658">
        <v>7</v>
      </c>
      <c r="AF8" s="659">
        <v>5</v>
      </c>
      <c r="AG8" s="155"/>
      <c r="AH8" s="954">
        <v>0</v>
      </c>
      <c r="AI8" s="155"/>
      <c r="AJ8" s="155"/>
      <c r="AK8" s="155"/>
    </row>
    <row r="9" spans="1:37" x14ac:dyDescent="0.2">
      <c r="A9" s="694">
        <v>3</v>
      </c>
      <c r="B9" s="38" t="s">
        <v>126</v>
      </c>
      <c r="C9" s="40"/>
      <c r="D9" s="40"/>
      <c r="E9" s="40"/>
      <c r="F9" s="48">
        <v>3</v>
      </c>
      <c r="G9" s="40">
        <v>1</v>
      </c>
      <c r="H9" s="36">
        <v>0</v>
      </c>
      <c r="I9" s="39"/>
      <c r="J9" s="40">
        <v>0</v>
      </c>
      <c r="K9" s="40">
        <v>0</v>
      </c>
      <c r="L9" s="40">
        <v>3</v>
      </c>
      <c r="M9" s="40">
        <v>2</v>
      </c>
      <c r="N9" s="40">
        <v>0</v>
      </c>
      <c r="O9" s="40">
        <v>0</v>
      </c>
      <c r="P9" s="40">
        <v>1</v>
      </c>
      <c r="Q9" s="40">
        <v>1</v>
      </c>
      <c r="R9" s="40">
        <v>1</v>
      </c>
      <c r="S9" s="40">
        <v>1</v>
      </c>
      <c r="T9" s="40">
        <v>1</v>
      </c>
      <c r="U9" s="40">
        <v>0</v>
      </c>
      <c r="V9" s="40">
        <v>0</v>
      </c>
      <c r="W9" s="40">
        <v>4</v>
      </c>
      <c r="X9" s="40">
        <v>3</v>
      </c>
      <c r="Y9" s="40">
        <v>3</v>
      </c>
      <c r="Z9" s="40">
        <v>0</v>
      </c>
      <c r="AA9" s="48">
        <v>3</v>
      </c>
      <c r="AB9" s="661" t="str">
        <f t="shared" si="0"/>
        <v>Oksana Sažina</v>
      </c>
      <c r="AC9" s="29">
        <f t="shared" si="1"/>
        <v>12</v>
      </c>
      <c r="AD9" s="41">
        <f t="shared" si="2"/>
        <v>19</v>
      </c>
      <c r="AE9" s="658">
        <v>5</v>
      </c>
      <c r="AF9" s="659">
        <v>2</v>
      </c>
      <c r="AG9" s="155"/>
      <c r="AH9" s="671">
        <v>0</v>
      </c>
      <c r="AI9" s="155"/>
      <c r="AJ9" s="155"/>
      <c r="AK9" s="155"/>
    </row>
    <row r="10" spans="1:37" x14ac:dyDescent="0.2">
      <c r="A10" s="694">
        <v>4</v>
      </c>
      <c r="B10" s="38" t="s">
        <v>209</v>
      </c>
      <c r="C10" s="36"/>
      <c r="D10" s="36"/>
      <c r="E10" s="40"/>
      <c r="F10" s="48">
        <v>4</v>
      </c>
      <c r="G10" s="40">
        <v>1</v>
      </c>
      <c r="H10" s="36">
        <v>2</v>
      </c>
      <c r="I10" s="36">
        <v>2</v>
      </c>
      <c r="J10" s="39"/>
      <c r="K10" s="36">
        <v>0</v>
      </c>
      <c r="L10" s="662">
        <v>3</v>
      </c>
      <c r="M10" s="40">
        <v>1</v>
      </c>
      <c r="N10" s="36">
        <v>2</v>
      </c>
      <c r="O10" s="36">
        <v>2</v>
      </c>
      <c r="P10" s="36">
        <v>4</v>
      </c>
      <c r="Q10" s="36">
        <v>0</v>
      </c>
      <c r="R10" s="36">
        <v>1</v>
      </c>
      <c r="S10" s="36">
        <v>0</v>
      </c>
      <c r="T10" s="40">
        <v>0</v>
      </c>
      <c r="U10" s="36">
        <v>2</v>
      </c>
      <c r="V10" s="36">
        <v>2</v>
      </c>
      <c r="W10" s="36">
        <v>1</v>
      </c>
      <c r="X10" s="36">
        <v>1</v>
      </c>
      <c r="Y10" s="36">
        <v>2</v>
      </c>
      <c r="Z10" s="36">
        <v>3</v>
      </c>
      <c r="AA10" s="48">
        <v>4</v>
      </c>
      <c r="AB10" s="661" t="str">
        <f t="shared" si="0"/>
        <v>Kenneth Muusikus</v>
      </c>
      <c r="AC10" s="29">
        <f t="shared" si="1"/>
        <v>21</v>
      </c>
      <c r="AD10" s="41">
        <f t="shared" si="2"/>
        <v>9</v>
      </c>
      <c r="AE10" s="658">
        <v>8</v>
      </c>
      <c r="AF10" s="659">
        <v>5</v>
      </c>
      <c r="AG10" s="155"/>
      <c r="AH10" s="670"/>
      <c r="AI10" s="155"/>
      <c r="AJ10" s="155"/>
      <c r="AK10" s="155"/>
    </row>
    <row r="11" spans="1:37" s="35" customFormat="1" x14ac:dyDescent="0.2">
      <c r="A11" s="694">
        <v>5</v>
      </c>
      <c r="B11" s="38" t="s">
        <v>99</v>
      </c>
      <c r="C11" s="40"/>
      <c r="D11" s="40"/>
      <c r="E11" s="40"/>
      <c r="F11" s="48">
        <v>5</v>
      </c>
      <c r="G11" s="40">
        <v>1</v>
      </c>
      <c r="H11" s="36">
        <v>1</v>
      </c>
      <c r="I11" s="36">
        <v>2</v>
      </c>
      <c r="J11" s="36">
        <v>2</v>
      </c>
      <c r="K11" s="39"/>
      <c r="L11" s="40">
        <v>2</v>
      </c>
      <c r="M11" s="40">
        <v>1</v>
      </c>
      <c r="N11" s="36">
        <v>3</v>
      </c>
      <c r="O11" s="36">
        <v>0</v>
      </c>
      <c r="P11" s="36">
        <v>1</v>
      </c>
      <c r="Q11" s="36">
        <v>3</v>
      </c>
      <c r="R11" s="36">
        <v>2</v>
      </c>
      <c r="S11" s="36">
        <v>3</v>
      </c>
      <c r="T11" s="40">
        <v>0</v>
      </c>
      <c r="U11" s="36">
        <v>2</v>
      </c>
      <c r="V11" s="36">
        <v>1</v>
      </c>
      <c r="W11" s="36">
        <v>3</v>
      </c>
      <c r="X11" s="36">
        <v>2</v>
      </c>
      <c r="Y11" s="36">
        <v>1</v>
      </c>
      <c r="Z11" s="36">
        <v>1</v>
      </c>
      <c r="AA11" s="48">
        <v>5</v>
      </c>
      <c r="AB11" s="661" t="str">
        <f t="shared" si="0"/>
        <v>Elmo Lageda</v>
      </c>
      <c r="AC11" s="29">
        <f t="shared" si="1"/>
        <v>23</v>
      </c>
      <c r="AD11" s="41">
        <f t="shared" si="2"/>
        <v>6</v>
      </c>
      <c r="AE11" s="658">
        <v>9</v>
      </c>
      <c r="AF11" s="659">
        <v>5</v>
      </c>
      <c r="AG11" s="155"/>
      <c r="AH11" s="670"/>
      <c r="AI11" s="659"/>
      <c r="AJ11" s="659"/>
      <c r="AK11" s="659"/>
    </row>
    <row r="12" spans="1:37" x14ac:dyDescent="0.2">
      <c r="A12" s="694">
        <v>6</v>
      </c>
      <c r="B12" s="38" t="s">
        <v>96</v>
      </c>
      <c r="C12" s="40"/>
      <c r="D12" s="40"/>
      <c r="E12" s="40"/>
      <c r="F12" s="48">
        <v>6</v>
      </c>
      <c r="G12" s="40">
        <v>4</v>
      </c>
      <c r="H12" s="40">
        <v>1</v>
      </c>
      <c r="I12" s="40">
        <v>0</v>
      </c>
      <c r="J12" s="40">
        <v>0</v>
      </c>
      <c r="K12" s="40">
        <v>1</v>
      </c>
      <c r="L12" s="39"/>
      <c r="M12" s="40">
        <v>2</v>
      </c>
      <c r="N12" s="40">
        <v>0</v>
      </c>
      <c r="O12" s="40">
        <v>3</v>
      </c>
      <c r="P12" s="40">
        <v>0</v>
      </c>
      <c r="Q12" s="40">
        <v>1</v>
      </c>
      <c r="R12" s="40">
        <v>1</v>
      </c>
      <c r="S12" s="40">
        <v>3</v>
      </c>
      <c r="T12" s="40">
        <v>3</v>
      </c>
      <c r="U12" s="40">
        <v>0</v>
      </c>
      <c r="V12" s="40">
        <v>2</v>
      </c>
      <c r="W12" s="40">
        <v>4</v>
      </c>
      <c r="X12" s="40">
        <v>2</v>
      </c>
      <c r="Y12" s="40">
        <v>3</v>
      </c>
      <c r="Z12" s="40">
        <v>3</v>
      </c>
      <c r="AA12" s="48">
        <v>6</v>
      </c>
      <c r="AB12" s="661" t="str">
        <f t="shared" si="0"/>
        <v>Tõnu Piik</v>
      </c>
      <c r="AC12" s="29">
        <f t="shared" si="1"/>
        <v>22</v>
      </c>
      <c r="AD12" s="41">
        <f t="shared" si="2"/>
        <v>8</v>
      </c>
      <c r="AE12" s="658">
        <v>10</v>
      </c>
      <c r="AF12" s="659">
        <v>2</v>
      </c>
      <c r="AG12" s="155"/>
      <c r="AH12" s="953">
        <v>0</v>
      </c>
      <c r="AI12" s="155"/>
      <c r="AJ12" s="155"/>
      <c r="AK12" s="155"/>
    </row>
    <row r="13" spans="1:37" s="35" customFormat="1" x14ac:dyDescent="0.2">
      <c r="A13" s="694">
        <v>7</v>
      </c>
      <c r="B13" s="38" t="s">
        <v>101</v>
      </c>
      <c r="C13" s="40"/>
      <c r="D13" s="40"/>
      <c r="E13" s="40"/>
      <c r="F13" s="48">
        <v>7</v>
      </c>
      <c r="G13" s="40">
        <v>3</v>
      </c>
      <c r="H13" s="36">
        <v>0</v>
      </c>
      <c r="I13" s="36">
        <v>1</v>
      </c>
      <c r="J13" s="36">
        <v>1</v>
      </c>
      <c r="K13" s="36">
        <v>1</v>
      </c>
      <c r="L13" s="40">
        <v>1</v>
      </c>
      <c r="M13" s="39"/>
      <c r="N13" s="36">
        <v>2</v>
      </c>
      <c r="O13" s="36">
        <v>1</v>
      </c>
      <c r="P13" s="36">
        <v>1</v>
      </c>
      <c r="Q13" s="36">
        <v>3</v>
      </c>
      <c r="R13" s="36">
        <v>1</v>
      </c>
      <c r="S13" s="36">
        <v>0</v>
      </c>
      <c r="T13" s="40">
        <v>3</v>
      </c>
      <c r="U13" s="36">
        <v>2</v>
      </c>
      <c r="V13" s="36">
        <v>1</v>
      </c>
      <c r="W13" s="36">
        <v>1</v>
      </c>
      <c r="X13" s="36">
        <v>2</v>
      </c>
      <c r="Y13" s="36">
        <v>1</v>
      </c>
      <c r="Z13" s="36">
        <v>0</v>
      </c>
      <c r="AA13" s="48">
        <v>7</v>
      </c>
      <c r="AB13" s="661" t="str">
        <f t="shared" si="0"/>
        <v>Mait Metsla</v>
      </c>
      <c r="AC13" s="29">
        <f t="shared" si="1"/>
        <v>17</v>
      </c>
      <c r="AD13" s="41">
        <f t="shared" si="2"/>
        <v>14</v>
      </c>
      <c r="AE13" s="658">
        <v>5</v>
      </c>
      <c r="AF13" s="659">
        <v>7</v>
      </c>
      <c r="AG13" s="155"/>
      <c r="AH13" s="670"/>
      <c r="AI13" s="659"/>
      <c r="AJ13" s="659"/>
      <c r="AK13" s="659"/>
    </row>
    <row r="14" spans="1:37" s="35" customFormat="1" x14ac:dyDescent="0.2">
      <c r="A14" s="694">
        <v>8</v>
      </c>
      <c r="B14" s="38" t="s">
        <v>109</v>
      </c>
      <c r="C14" s="40"/>
      <c r="D14" s="40"/>
      <c r="E14" s="40"/>
      <c r="F14" s="48">
        <v>8</v>
      </c>
      <c r="G14" s="40">
        <v>0</v>
      </c>
      <c r="H14" s="36">
        <v>0</v>
      </c>
      <c r="I14" s="36">
        <v>5</v>
      </c>
      <c r="J14" s="36">
        <v>1</v>
      </c>
      <c r="K14" s="36">
        <v>0</v>
      </c>
      <c r="L14" s="40">
        <v>2</v>
      </c>
      <c r="M14" s="36">
        <v>2</v>
      </c>
      <c r="N14" s="39"/>
      <c r="O14" s="36">
        <v>4</v>
      </c>
      <c r="P14" s="36">
        <v>3</v>
      </c>
      <c r="Q14" s="36">
        <v>2</v>
      </c>
      <c r="R14" s="36">
        <v>2</v>
      </c>
      <c r="S14" s="36">
        <v>3</v>
      </c>
      <c r="T14" s="40">
        <v>3</v>
      </c>
      <c r="U14" s="36">
        <v>2</v>
      </c>
      <c r="V14" s="36">
        <v>1</v>
      </c>
      <c r="W14" s="36">
        <v>4</v>
      </c>
      <c r="X14" s="36">
        <v>1</v>
      </c>
      <c r="Y14" s="36">
        <v>1</v>
      </c>
      <c r="Z14" s="36">
        <v>1</v>
      </c>
      <c r="AA14" s="48">
        <v>8</v>
      </c>
      <c r="AB14" s="661" t="str">
        <f t="shared" si="0"/>
        <v>Oleg Rõndenkov</v>
      </c>
      <c r="AC14" s="29">
        <f t="shared" si="1"/>
        <v>25.002700000000001</v>
      </c>
      <c r="AD14" s="41">
        <f t="shared" si="2"/>
        <v>1</v>
      </c>
      <c r="AE14" s="658">
        <v>11</v>
      </c>
      <c r="AF14" s="659">
        <v>3</v>
      </c>
      <c r="AG14" s="952">
        <v>2.5</v>
      </c>
      <c r="AH14" s="952">
        <v>2</v>
      </c>
      <c r="AI14" s="659"/>
      <c r="AJ14" s="659"/>
      <c r="AK14" s="659"/>
    </row>
    <row r="15" spans="1:37" x14ac:dyDescent="0.2">
      <c r="A15" s="694">
        <v>9</v>
      </c>
      <c r="B15" s="38" t="s">
        <v>122</v>
      </c>
      <c r="C15" s="40"/>
      <c r="D15" s="40"/>
      <c r="E15" s="40"/>
      <c r="F15" s="48">
        <v>9</v>
      </c>
      <c r="G15" s="40">
        <v>0</v>
      </c>
      <c r="H15" s="36">
        <v>1</v>
      </c>
      <c r="I15" s="36">
        <v>2</v>
      </c>
      <c r="J15" s="36">
        <v>2</v>
      </c>
      <c r="K15" s="36">
        <v>3</v>
      </c>
      <c r="L15" s="40">
        <v>3</v>
      </c>
      <c r="M15" s="36">
        <v>1</v>
      </c>
      <c r="N15" s="36">
        <v>0</v>
      </c>
      <c r="O15" s="39"/>
      <c r="P15" s="36">
        <v>2</v>
      </c>
      <c r="Q15" s="36">
        <v>2</v>
      </c>
      <c r="R15" s="36">
        <v>1</v>
      </c>
      <c r="S15" s="36">
        <v>1</v>
      </c>
      <c r="T15" s="40">
        <v>2</v>
      </c>
      <c r="U15" s="36">
        <v>1</v>
      </c>
      <c r="V15" s="36">
        <v>3</v>
      </c>
      <c r="W15" s="36">
        <v>2</v>
      </c>
      <c r="X15" s="36">
        <v>2</v>
      </c>
      <c r="Y15" s="36">
        <v>2</v>
      </c>
      <c r="Z15" s="36">
        <v>2</v>
      </c>
      <c r="AA15" s="48">
        <v>9</v>
      </c>
      <c r="AB15" s="661" t="str">
        <f t="shared" si="0"/>
        <v>Tarmo Bombe</v>
      </c>
      <c r="AC15" s="29">
        <f t="shared" si="1"/>
        <v>24</v>
      </c>
      <c r="AD15" s="41">
        <f t="shared" si="2"/>
        <v>5</v>
      </c>
      <c r="AE15" s="658">
        <v>9</v>
      </c>
      <c r="AF15" s="659">
        <v>6</v>
      </c>
      <c r="AG15" s="155"/>
      <c r="AH15" s="670"/>
      <c r="AI15" s="155"/>
      <c r="AJ15" s="155"/>
      <c r="AK15" s="155"/>
    </row>
    <row r="16" spans="1:37" x14ac:dyDescent="0.2">
      <c r="A16" s="694">
        <v>10</v>
      </c>
      <c r="B16" s="38" t="s">
        <v>117</v>
      </c>
      <c r="C16" s="40"/>
      <c r="D16" s="40"/>
      <c r="E16" s="40"/>
      <c r="F16" s="48">
        <v>10</v>
      </c>
      <c r="G16" s="40">
        <v>2</v>
      </c>
      <c r="H16" s="36">
        <v>2</v>
      </c>
      <c r="I16" s="36">
        <v>1</v>
      </c>
      <c r="J16" s="36">
        <v>0</v>
      </c>
      <c r="K16" s="36">
        <v>1</v>
      </c>
      <c r="L16" s="40">
        <v>3</v>
      </c>
      <c r="M16" s="36">
        <v>1</v>
      </c>
      <c r="N16" s="36">
        <v>1</v>
      </c>
      <c r="O16" s="36">
        <v>1</v>
      </c>
      <c r="P16" s="39"/>
      <c r="Q16" s="36">
        <v>3</v>
      </c>
      <c r="R16" s="36">
        <v>1</v>
      </c>
      <c r="S16" s="36">
        <v>0</v>
      </c>
      <c r="T16" s="40">
        <v>1</v>
      </c>
      <c r="U16" s="36">
        <v>6</v>
      </c>
      <c r="V16" s="36">
        <v>2</v>
      </c>
      <c r="W16" s="36">
        <v>2</v>
      </c>
      <c r="X16" s="36">
        <v>0</v>
      </c>
      <c r="Y16" s="36">
        <v>1</v>
      </c>
      <c r="Z16" s="36">
        <v>3</v>
      </c>
      <c r="AA16" s="48">
        <v>10</v>
      </c>
      <c r="AB16" s="661" t="str">
        <f t="shared" si="0"/>
        <v>Enn Tokman</v>
      </c>
      <c r="AC16" s="29">
        <f t="shared" si="1"/>
        <v>22.0002</v>
      </c>
      <c r="AD16" s="41">
        <f t="shared" si="2"/>
        <v>7</v>
      </c>
      <c r="AE16" s="658">
        <v>8</v>
      </c>
      <c r="AF16" s="659">
        <v>6</v>
      </c>
      <c r="AG16" s="155"/>
      <c r="AH16" s="953">
        <v>2</v>
      </c>
      <c r="AI16" s="155"/>
      <c r="AJ16" s="155"/>
      <c r="AK16" s="155"/>
    </row>
    <row r="17" spans="1:37" x14ac:dyDescent="0.2">
      <c r="A17" s="694">
        <v>11</v>
      </c>
      <c r="B17" s="37" t="s">
        <v>120</v>
      </c>
      <c r="C17" s="36"/>
      <c r="D17" s="36"/>
      <c r="E17" s="36"/>
      <c r="F17" s="48">
        <v>11</v>
      </c>
      <c r="G17" s="40">
        <v>2</v>
      </c>
      <c r="H17" s="36">
        <v>3</v>
      </c>
      <c r="I17" s="36">
        <v>1</v>
      </c>
      <c r="J17" s="36">
        <v>3</v>
      </c>
      <c r="K17" s="36">
        <v>1</v>
      </c>
      <c r="L17" s="40">
        <v>0</v>
      </c>
      <c r="M17" s="36">
        <v>0</v>
      </c>
      <c r="N17" s="36">
        <v>0</v>
      </c>
      <c r="O17" s="36">
        <v>1</v>
      </c>
      <c r="P17" s="36">
        <v>0</v>
      </c>
      <c r="Q17" s="39"/>
      <c r="R17" s="36">
        <v>0</v>
      </c>
      <c r="S17" s="36">
        <v>2</v>
      </c>
      <c r="T17" s="40">
        <v>0</v>
      </c>
      <c r="U17" s="36">
        <v>5</v>
      </c>
      <c r="V17" s="36">
        <v>2</v>
      </c>
      <c r="W17" s="36">
        <v>4</v>
      </c>
      <c r="X17" s="36">
        <v>1</v>
      </c>
      <c r="Y17" s="36">
        <v>3</v>
      </c>
      <c r="Z17" s="36">
        <v>2</v>
      </c>
      <c r="AA17" s="48">
        <v>11</v>
      </c>
      <c r="AB17" s="661" t="str">
        <f t="shared" si="0"/>
        <v>Urmas Randlaine</v>
      </c>
      <c r="AC17" s="29">
        <f t="shared" si="1"/>
        <v>18</v>
      </c>
      <c r="AD17" s="41">
        <f t="shared" si="2"/>
        <v>13</v>
      </c>
      <c r="AE17" s="658">
        <v>8</v>
      </c>
      <c r="AF17" s="659">
        <v>2</v>
      </c>
      <c r="AG17" s="155"/>
      <c r="AH17" s="670"/>
      <c r="AI17" s="155"/>
      <c r="AJ17" s="155"/>
      <c r="AK17" s="155"/>
    </row>
    <row r="18" spans="1:37" x14ac:dyDescent="0.2">
      <c r="A18" s="694">
        <v>12</v>
      </c>
      <c r="B18" s="38" t="s">
        <v>102</v>
      </c>
      <c r="C18" s="40"/>
      <c r="D18" s="40"/>
      <c r="E18" s="40"/>
      <c r="F18" s="48">
        <v>12</v>
      </c>
      <c r="G18" s="40">
        <v>2</v>
      </c>
      <c r="H18" s="36">
        <v>2</v>
      </c>
      <c r="I18" s="36">
        <v>3</v>
      </c>
      <c r="J18" s="36">
        <v>1</v>
      </c>
      <c r="K18" s="36">
        <v>0</v>
      </c>
      <c r="L18" s="40">
        <v>2</v>
      </c>
      <c r="M18" s="36">
        <v>1</v>
      </c>
      <c r="N18" s="36">
        <v>0</v>
      </c>
      <c r="O18" s="36">
        <v>2</v>
      </c>
      <c r="P18" s="36">
        <v>1</v>
      </c>
      <c r="Q18" s="36">
        <v>2</v>
      </c>
      <c r="R18" s="39"/>
      <c r="S18" s="36">
        <v>0</v>
      </c>
      <c r="T18" s="40">
        <v>2</v>
      </c>
      <c r="U18" s="36">
        <v>4</v>
      </c>
      <c r="V18" s="36">
        <v>0</v>
      </c>
      <c r="W18" s="36">
        <v>4</v>
      </c>
      <c r="X18" s="36">
        <v>0</v>
      </c>
      <c r="Y18" s="36">
        <v>4</v>
      </c>
      <c r="Z18" s="36">
        <v>2</v>
      </c>
      <c r="AA18" s="48">
        <v>12</v>
      </c>
      <c r="AB18" s="661" t="str">
        <f t="shared" si="0"/>
        <v>Vladimir Ogneštšikov</v>
      </c>
      <c r="AC18" s="29">
        <f t="shared" si="1"/>
        <v>25</v>
      </c>
      <c r="AD18" s="41">
        <f t="shared" si="2"/>
        <v>4</v>
      </c>
      <c r="AE18" s="658">
        <v>11</v>
      </c>
      <c r="AF18" s="659">
        <v>3</v>
      </c>
      <c r="AG18" s="952">
        <v>0</v>
      </c>
      <c r="AH18" s="155"/>
      <c r="AI18" s="155"/>
      <c r="AJ18" s="155"/>
      <c r="AK18" s="155"/>
    </row>
    <row r="19" spans="1:37" x14ac:dyDescent="0.2">
      <c r="A19" s="694">
        <v>13</v>
      </c>
      <c r="B19" s="38" t="s">
        <v>95</v>
      </c>
      <c r="C19" s="40"/>
      <c r="D19" s="40"/>
      <c r="E19" s="40"/>
      <c r="F19" s="48">
        <v>13</v>
      </c>
      <c r="G19" s="40">
        <v>2</v>
      </c>
      <c r="H19" s="36">
        <v>0</v>
      </c>
      <c r="I19" s="36">
        <v>2</v>
      </c>
      <c r="J19" s="36">
        <v>4</v>
      </c>
      <c r="K19" s="36">
        <v>1</v>
      </c>
      <c r="L19" s="40">
        <v>0</v>
      </c>
      <c r="M19" s="36">
        <v>4</v>
      </c>
      <c r="N19" s="36">
        <v>0</v>
      </c>
      <c r="O19" s="36">
        <v>1</v>
      </c>
      <c r="P19" s="36">
        <v>5</v>
      </c>
      <c r="Q19" s="36">
        <v>3</v>
      </c>
      <c r="R19" s="36">
        <v>2</v>
      </c>
      <c r="S19" s="39"/>
      <c r="T19" s="40">
        <v>3</v>
      </c>
      <c r="U19" s="36">
        <v>0</v>
      </c>
      <c r="V19" s="36">
        <v>2</v>
      </c>
      <c r="W19" s="36">
        <v>2</v>
      </c>
      <c r="X19" s="36">
        <v>2</v>
      </c>
      <c r="Y19" s="36">
        <v>0</v>
      </c>
      <c r="Z19" s="36">
        <v>4</v>
      </c>
      <c r="AA19" s="48">
        <v>13</v>
      </c>
      <c r="AB19" s="661" t="str">
        <f t="shared" si="0"/>
        <v>Boriss Klubov</v>
      </c>
      <c r="AC19" s="29">
        <f t="shared" si="1"/>
        <v>25.001999999999999</v>
      </c>
      <c r="AD19" s="41">
        <f t="shared" si="2"/>
        <v>2</v>
      </c>
      <c r="AE19" s="658">
        <v>12</v>
      </c>
      <c r="AF19" s="659">
        <v>1</v>
      </c>
      <c r="AG19" s="952">
        <v>2</v>
      </c>
      <c r="AH19" s="952">
        <v>0</v>
      </c>
      <c r="AI19" s="155"/>
      <c r="AJ19" s="155"/>
      <c r="AK19" s="155"/>
    </row>
    <row r="20" spans="1:37" x14ac:dyDescent="0.2">
      <c r="A20" s="694">
        <v>14</v>
      </c>
      <c r="B20" s="38" t="s">
        <v>125</v>
      </c>
      <c r="C20" s="40"/>
      <c r="D20" s="40"/>
      <c r="E20" s="40"/>
      <c r="F20" s="48">
        <v>14</v>
      </c>
      <c r="G20" s="40">
        <v>0</v>
      </c>
      <c r="H20" s="40">
        <v>1</v>
      </c>
      <c r="I20" s="40">
        <v>2</v>
      </c>
      <c r="J20" s="40">
        <v>3</v>
      </c>
      <c r="K20" s="40">
        <v>2</v>
      </c>
      <c r="L20" s="40">
        <v>0</v>
      </c>
      <c r="M20" s="40">
        <v>0</v>
      </c>
      <c r="N20" s="40">
        <v>0</v>
      </c>
      <c r="O20" s="40">
        <v>1</v>
      </c>
      <c r="P20" s="40">
        <v>1</v>
      </c>
      <c r="Q20" s="40">
        <v>3</v>
      </c>
      <c r="R20" s="40">
        <v>0</v>
      </c>
      <c r="S20" s="40">
        <v>0</v>
      </c>
      <c r="T20" s="39"/>
      <c r="U20" s="40">
        <v>0</v>
      </c>
      <c r="V20" s="40">
        <v>1</v>
      </c>
      <c r="W20" s="40">
        <v>0</v>
      </c>
      <c r="X20" s="40">
        <v>0</v>
      </c>
      <c r="Y20" s="40">
        <v>5</v>
      </c>
      <c r="Z20" s="40">
        <v>1</v>
      </c>
      <c r="AA20" s="48">
        <v>14</v>
      </c>
      <c r="AB20" s="661" t="str">
        <f t="shared" si="0"/>
        <v>Henri Mitt</v>
      </c>
      <c r="AC20" s="29">
        <f t="shared" si="1"/>
        <v>13</v>
      </c>
      <c r="AD20" s="41">
        <f t="shared" si="2"/>
        <v>17</v>
      </c>
      <c r="AE20" s="658">
        <v>5</v>
      </c>
      <c r="AF20" s="659">
        <v>3</v>
      </c>
      <c r="AG20" s="155"/>
      <c r="AH20" s="697">
        <v>0</v>
      </c>
      <c r="AI20" s="155"/>
      <c r="AJ20" s="155"/>
      <c r="AK20" s="155"/>
    </row>
    <row r="21" spans="1:37" x14ac:dyDescent="0.2">
      <c r="A21" s="694">
        <v>15</v>
      </c>
      <c r="B21" s="38" t="s">
        <v>124</v>
      </c>
      <c r="C21" s="40"/>
      <c r="D21" s="40"/>
      <c r="E21" s="40"/>
      <c r="F21" s="48">
        <v>15</v>
      </c>
      <c r="G21" s="40">
        <v>2</v>
      </c>
      <c r="H21" s="36">
        <v>0</v>
      </c>
      <c r="I21" s="36">
        <v>2</v>
      </c>
      <c r="J21" s="36">
        <v>1</v>
      </c>
      <c r="K21" s="36">
        <v>0</v>
      </c>
      <c r="L21" s="40">
        <v>3</v>
      </c>
      <c r="M21" s="36">
        <v>1</v>
      </c>
      <c r="N21" s="36">
        <v>0</v>
      </c>
      <c r="O21" s="36">
        <v>2</v>
      </c>
      <c r="P21" s="36">
        <v>0</v>
      </c>
      <c r="Q21" s="36">
        <v>0</v>
      </c>
      <c r="R21" s="36">
        <v>0</v>
      </c>
      <c r="S21" s="36">
        <v>2</v>
      </c>
      <c r="T21" s="40">
        <v>6</v>
      </c>
      <c r="U21" s="39"/>
      <c r="V21" s="36">
        <v>0</v>
      </c>
      <c r="W21" s="36">
        <v>0</v>
      </c>
      <c r="X21" s="36">
        <v>0</v>
      </c>
      <c r="Y21" s="36">
        <v>0</v>
      </c>
      <c r="Z21" s="36">
        <v>1</v>
      </c>
      <c r="AA21" s="48">
        <v>15</v>
      </c>
      <c r="AB21" s="661" t="str">
        <f t="shared" si="0"/>
        <v>Illar Tõnurist</v>
      </c>
      <c r="AC21" s="29">
        <f t="shared" si="1"/>
        <v>10</v>
      </c>
      <c r="AD21" s="41">
        <f t="shared" si="2"/>
        <v>20</v>
      </c>
      <c r="AE21" s="658">
        <v>5</v>
      </c>
      <c r="AF21" s="659">
        <v>0</v>
      </c>
      <c r="AG21" s="155"/>
      <c r="AH21" s="155"/>
      <c r="AI21" s="155"/>
      <c r="AJ21" s="155"/>
      <c r="AK21" s="155"/>
    </row>
    <row r="22" spans="1:37" x14ac:dyDescent="0.2">
      <c r="A22" s="694">
        <v>16</v>
      </c>
      <c r="B22" s="38" t="s">
        <v>105</v>
      </c>
      <c r="C22" s="40"/>
      <c r="D22" s="40"/>
      <c r="E22" s="40"/>
      <c r="F22" s="48">
        <v>16</v>
      </c>
      <c r="G22" s="40">
        <v>1</v>
      </c>
      <c r="H22" s="36">
        <v>0</v>
      </c>
      <c r="I22" s="36">
        <v>4</v>
      </c>
      <c r="J22" s="36">
        <v>3</v>
      </c>
      <c r="K22" s="36">
        <v>3</v>
      </c>
      <c r="L22" s="40">
        <v>0</v>
      </c>
      <c r="M22" s="36">
        <v>2</v>
      </c>
      <c r="N22" s="36">
        <v>1</v>
      </c>
      <c r="O22" s="36">
        <v>3</v>
      </c>
      <c r="P22" s="36">
        <v>1</v>
      </c>
      <c r="Q22" s="36">
        <v>1</v>
      </c>
      <c r="R22" s="36">
        <v>6</v>
      </c>
      <c r="S22" s="36">
        <v>1</v>
      </c>
      <c r="T22" s="40">
        <v>2</v>
      </c>
      <c r="U22" s="36">
        <v>3</v>
      </c>
      <c r="V22" s="39"/>
      <c r="W22" s="36">
        <v>2</v>
      </c>
      <c r="X22" s="36">
        <v>2</v>
      </c>
      <c r="Y22" s="36">
        <v>3</v>
      </c>
      <c r="Z22" s="36">
        <v>2</v>
      </c>
      <c r="AA22" s="48">
        <v>16</v>
      </c>
      <c r="AB22" s="661" t="str">
        <f t="shared" si="0"/>
        <v>Ülo Piik</v>
      </c>
      <c r="AC22" s="29">
        <f t="shared" si="1"/>
        <v>25.0015</v>
      </c>
      <c r="AD22" s="41">
        <f t="shared" si="2"/>
        <v>3</v>
      </c>
      <c r="AE22" s="658">
        <v>11</v>
      </c>
      <c r="AF22" s="659">
        <v>3</v>
      </c>
      <c r="AG22" s="952">
        <v>1.5</v>
      </c>
      <c r="AH22" s="155"/>
      <c r="AI22" s="155"/>
      <c r="AJ22" s="155"/>
      <c r="AK22" s="155"/>
    </row>
    <row r="23" spans="1:37" x14ac:dyDescent="0.2">
      <c r="A23" s="694">
        <v>17</v>
      </c>
      <c r="B23" s="38" t="s">
        <v>119</v>
      </c>
      <c r="C23" s="40"/>
      <c r="D23" s="40"/>
      <c r="E23" s="40"/>
      <c r="F23" s="48">
        <v>17</v>
      </c>
      <c r="G23" s="40">
        <v>2</v>
      </c>
      <c r="H23" s="36">
        <v>2</v>
      </c>
      <c r="I23" s="36">
        <v>0</v>
      </c>
      <c r="J23" s="36">
        <v>1</v>
      </c>
      <c r="K23" s="36">
        <v>1</v>
      </c>
      <c r="L23" s="40">
        <v>0</v>
      </c>
      <c r="M23" s="36">
        <v>1</v>
      </c>
      <c r="N23" s="36">
        <v>0</v>
      </c>
      <c r="O23" s="36">
        <v>1</v>
      </c>
      <c r="P23" s="36">
        <v>0</v>
      </c>
      <c r="Q23" s="36">
        <v>0</v>
      </c>
      <c r="R23" s="36">
        <v>0</v>
      </c>
      <c r="S23" s="36">
        <v>1</v>
      </c>
      <c r="T23" s="40">
        <v>3</v>
      </c>
      <c r="U23" s="36">
        <v>4</v>
      </c>
      <c r="V23" s="36">
        <v>0</v>
      </c>
      <c r="W23" s="39"/>
      <c r="X23" s="36">
        <v>1</v>
      </c>
      <c r="Y23" s="36">
        <v>3</v>
      </c>
      <c r="Z23" s="36">
        <v>3</v>
      </c>
      <c r="AA23" s="48">
        <v>17</v>
      </c>
      <c r="AB23" s="661" t="str">
        <f t="shared" si="0"/>
        <v>Meelis Luud</v>
      </c>
      <c r="AC23" s="29">
        <f t="shared" si="1"/>
        <v>13.0002</v>
      </c>
      <c r="AD23" s="41">
        <f t="shared" si="2"/>
        <v>16</v>
      </c>
      <c r="AE23" s="658">
        <v>4</v>
      </c>
      <c r="AF23" s="659">
        <v>5</v>
      </c>
      <c r="AG23" s="155"/>
      <c r="AH23" s="697">
        <v>2</v>
      </c>
      <c r="AI23" s="155"/>
      <c r="AJ23" s="155"/>
      <c r="AK23" s="155"/>
    </row>
    <row r="24" spans="1:37" x14ac:dyDescent="0.2">
      <c r="A24" s="694">
        <v>18</v>
      </c>
      <c r="B24" s="37" t="s">
        <v>208</v>
      </c>
      <c r="C24" s="36"/>
      <c r="D24" s="36"/>
      <c r="E24" s="36"/>
      <c r="F24" s="48">
        <v>18</v>
      </c>
      <c r="G24" s="40">
        <v>4</v>
      </c>
      <c r="H24" s="36">
        <v>1</v>
      </c>
      <c r="I24" s="36">
        <v>1</v>
      </c>
      <c r="J24" s="36">
        <v>2</v>
      </c>
      <c r="K24" s="36">
        <v>2</v>
      </c>
      <c r="L24" s="40">
        <v>0</v>
      </c>
      <c r="M24" s="36">
        <v>1</v>
      </c>
      <c r="N24" s="36">
        <v>3</v>
      </c>
      <c r="O24" s="36">
        <v>1</v>
      </c>
      <c r="P24" s="36">
        <v>4</v>
      </c>
      <c r="Q24" s="36">
        <v>0</v>
      </c>
      <c r="R24" s="36">
        <v>2</v>
      </c>
      <c r="S24" s="36">
        <v>0</v>
      </c>
      <c r="T24" s="40">
        <v>6</v>
      </c>
      <c r="U24" s="36">
        <v>4</v>
      </c>
      <c r="V24" s="36">
        <v>1</v>
      </c>
      <c r="W24" s="36">
        <v>1</v>
      </c>
      <c r="X24" s="39"/>
      <c r="Y24" s="40">
        <v>2</v>
      </c>
      <c r="Z24" s="40">
        <v>2</v>
      </c>
      <c r="AA24" s="48">
        <v>18</v>
      </c>
      <c r="AB24" s="661" t="str">
        <f t="shared" si="0"/>
        <v>Jaan Saar</v>
      </c>
      <c r="AC24" s="29">
        <f t="shared" si="1"/>
        <v>20</v>
      </c>
      <c r="AD24" s="41">
        <f t="shared" si="2"/>
        <v>10</v>
      </c>
      <c r="AE24" s="658">
        <v>9</v>
      </c>
      <c r="AF24" s="659">
        <v>2</v>
      </c>
      <c r="AG24" s="155"/>
      <c r="AH24" s="155"/>
      <c r="AI24" s="155"/>
      <c r="AJ24" s="155"/>
      <c r="AK24" s="155"/>
    </row>
    <row r="25" spans="1:37" x14ac:dyDescent="0.2">
      <c r="A25" s="694">
        <v>19</v>
      </c>
      <c r="B25" s="38" t="s">
        <v>207</v>
      </c>
      <c r="C25" s="40"/>
      <c r="D25" s="40"/>
      <c r="E25" s="40"/>
      <c r="F25" s="48">
        <v>19</v>
      </c>
      <c r="G25" s="40">
        <v>0</v>
      </c>
      <c r="H25" s="36">
        <v>5</v>
      </c>
      <c r="I25" s="36">
        <v>0</v>
      </c>
      <c r="J25" s="36">
        <v>0</v>
      </c>
      <c r="K25" s="36">
        <v>2</v>
      </c>
      <c r="L25" s="40">
        <v>2</v>
      </c>
      <c r="M25" s="36">
        <v>2</v>
      </c>
      <c r="N25" s="36">
        <v>0</v>
      </c>
      <c r="O25" s="36">
        <v>0</v>
      </c>
      <c r="P25" s="36">
        <v>1</v>
      </c>
      <c r="Q25" s="36">
        <v>3</v>
      </c>
      <c r="R25" s="36">
        <v>0</v>
      </c>
      <c r="S25" s="36">
        <v>2</v>
      </c>
      <c r="T25" s="40">
        <v>0</v>
      </c>
      <c r="U25" s="36">
        <v>2</v>
      </c>
      <c r="V25" s="36">
        <v>0</v>
      </c>
      <c r="W25" s="36">
        <v>3</v>
      </c>
      <c r="X25" s="40">
        <v>1</v>
      </c>
      <c r="Y25" s="39"/>
      <c r="Z25" s="40">
        <v>3</v>
      </c>
      <c r="AA25" s="48">
        <v>19</v>
      </c>
      <c r="AB25" s="661" t="str">
        <f t="shared" si="0"/>
        <v>Urmas Jõeäär</v>
      </c>
      <c r="AC25" s="29">
        <f t="shared" si="1"/>
        <v>15</v>
      </c>
      <c r="AD25" s="41">
        <f t="shared" si="2"/>
        <v>15</v>
      </c>
      <c r="AE25" s="658">
        <v>6</v>
      </c>
      <c r="AF25" s="659">
        <v>3</v>
      </c>
      <c r="AG25" s="155"/>
      <c r="AH25" s="155"/>
      <c r="AI25" s="155"/>
      <c r="AJ25" s="155"/>
      <c r="AK25" s="155"/>
    </row>
    <row r="26" spans="1:37" x14ac:dyDescent="0.2">
      <c r="A26" s="694">
        <v>20</v>
      </c>
      <c r="B26" s="38" t="s">
        <v>130</v>
      </c>
      <c r="C26" s="40"/>
      <c r="D26" s="40"/>
      <c r="E26" s="40"/>
      <c r="F26" s="48">
        <v>20</v>
      </c>
      <c r="G26" s="40">
        <v>2</v>
      </c>
      <c r="H26" s="36">
        <v>1</v>
      </c>
      <c r="I26" s="36">
        <v>2</v>
      </c>
      <c r="J26" s="36">
        <v>0</v>
      </c>
      <c r="K26" s="36">
        <v>1</v>
      </c>
      <c r="L26" s="40">
        <v>0</v>
      </c>
      <c r="M26" s="36">
        <v>3</v>
      </c>
      <c r="N26" s="36">
        <v>1</v>
      </c>
      <c r="O26" s="36">
        <v>0</v>
      </c>
      <c r="P26" s="36">
        <v>0</v>
      </c>
      <c r="Q26" s="36">
        <v>1</v>
      </c>
      <c r="R26" s="36">
        <v>0</v>
      </c>
      <c r="S26" s="36">
        <v>0</v>
      </c>
      <c r="T26" s="40">
        <v>1</v>
      </c>
      <c r="U26" s="36">
        <v>2</v>
      </c>
      <c r="V26" s="36">
        <v>2</v>
      </c>
      <c r="W26" s="36">
        <v>1</v>
      </c>
      <c r="X26" s="40">
        <v>1</v>
      </c>
      <c r="Y26" s="40">
        <v>0</v>
      </c>
      <c r="Z26" s="39"/>
      <c r="AA26" s="48">
        <v>20</v>
      </c>
      <c r="AB26" s="661" t="str">
        <f t="shared" si="0"/>
        <v>Melika Lehtla</v>
      </c>
      <c r="AC26" s="29">
        <f t="shared" si="1"/>
        <v>12.0002</v>
      </c>
      <c r="AD26" s="41">
        <f t="shared" si="2"/>
        <v>18</v>
      </c>
      <c r="AE26" s="658">
        <v>3</v>
      </c>
      <c r="AF26" s="659">
        <v>6</v>
      </c>
      <c r="AG26" s="155"/>
      <c r="AH26" s="671">
        <v>2</v>
      </c>
    </row>
    <row r="27" spans="1:37" x14ac:dyDescent="0.2">
      <c r="A27" s="693" t="s">
        <v>24</v>
      </c>
      <c r="B27" s="47" t="s">
        <v>14</v>
      </c>
      <c r="C27" s="47"/>
      <c r="D27" s="47"/>
      <c r="E27" s="47"/>
      <c r="F27" s="47" t="s">
        <v>24</v>
      </c>
      <c r="G27" s="47">
        <v>1</v>
      </c>
      <c r="H27" s="47">
        <v>2</v>
      </c>
      <c r="I27" s="47">
        <v>3</v>
      </c>
      <c r="J27" s="47">
        <v>4</v>
      </c>
      <c r="K27" s="47">
        <v>5</v>
      </c>
      <c r="L27" s="47">
        <v>6</v>
      </c>
      <c r="M27" s="47">
        <v>7</v>
      </c>
      <c r="N27" s="47">
        <v>8</v>
      </c>
      <c r="O27" s="47">
        <v>9</v>
      </c>
      <c r="P27" s="47">
        <v>10</v>
      </c>
      <c r="Q27" s="47">
        <v>11</v>
      </c>
      <c r="R27" s="47">
        <v>12</v>
      </c>
      <c r="S27" s="47">
        <v>13</v>
      </c>
      <c r="T27" s="47">
        <v>14</v>
      </c>
      <c r="U27" s="47">
        <v>15</v>
      </c>
      <c r="V27" s="47">
        <v>16</v>
      </c>
      <c r="W27" s="47">
        <v>17</v>
      </c>
      <c r="X27" s="47">
        <v>18</v>
      </c>
      <c r="Y27" s="47">
        <v>19</v>
      </c>
      <c r="Z27" s="47">
        <v>20</v>
      </c>
      <c r="AA27" s="47" t="s">
        <v>24</v>
      </c>
      <c r="AB27" s="47" t="s">
        <v>14</v>
      </c>
      <c r="AC27" s="47" t="s">
        <v>25</v>
      </c>
      <c r="AD27" s="47" t="s">
        <v>26</v>
      </c>
      <c r="AE27" s="657" t="s">
        <v>12</v>
      </c>
      <c r="AF27" s="657" t="s">
        <v>27</v>
      </c>
      <c r="AG27" s="657" t="s">
        <v>677</v>
      </c>
      <c r="AH27" s="657" t="s">
        <v>677</v>
      </c>
    </row>
    <row r="28" spans="1:37" x14ac:dyDescent="0.2">
      <c r="A28" s="659"/>
      <c r="B28" s="659"/>
      <c r="C28" s="659"/>
      <c r="D28" s="659"/>
      <c r="E28" s="659"/>
      <c r="F28" s="658"/>
      <c r="G28" s="35"/>
      <c r="H28" s="35"/>
      <c r="I28" s="35"/>
      <c r="J28" s="35"/>
      <c r="K28" s="35"/>
      <c r="L28" s="35"/>
      <c r="M28" s="35"/>
      <c r="N28" s="35"/>
      <c r="O28" s="35"/>
      <c r="P28" s="35"/>
      <c r="Q28" s="35"/>
      <c r="R28" s="35"/>
      <c r="S28" s="35"/>
      <c r="T28" s="35"/>
      <c r="U28" s="35"/>
      <c r="V28" s="35"/>
      <c r="W28" s="35"/>
      <c r="X28" s="35"/>
      <c r="Y28" s="35"/>
      <c r="Z28" s="35"/>
      <c r="AA28" s="658"/>
      <c r="AB28" s="658"/>
      <c r="AC28" s="660"/>
      <c r="AD28" s="35"/>
      <c r="AE28" s="35"/>
      <c r="AF28" s="35"/>
    </row>
    <row r="29" spans="1:37" x14ac:dyDescent="0.2">
      <c r="A29" s="680" t="s">
        <v>533</v>
      </c>
    </row>
    <row r="31" spans="1:37" x14ac:dyDescent="0.2">
      <c r="A31" s="1343">
        <v>1</v>
      </c>
      <c r="B31" s="956" t="s">
        <v>109</v>
      </c>
      <c r="I31" s="1343">
        <v>11</v>
      </c>
      <c r="J31" s="963" t="s">
        <v>93</v>
      </c>
      <c r="K31" s="964"/>
      <c r="L31" s="964"/>
      <c r="M31" s="964"/>
      <c r="N31" s="964"/>
      <c r="O31" s="965"/>
    </row>
    <row r="32" spans="1:37" x14ac:dyDescent="0.2">
      <c r="A32" s="1343">
        <v>2</v>
      </c>
      <c r="B32" s="957" t="s">
        <v>95</v>
      </c>
      <c r="I32" s="1343">
        <v>12</v>
      </c>
      <c r="J32" s="963" t="s">
        <v>262</v>
      </c>
      <c r="K32" s="964"/>
      <c r="L32" s="964"/>
      <c r="M32" s="964"/>
      <c r="N32" s="964"/>
      <c r="O32" s="965"/>
    </row>
    <row r="33" spans="1:15" x14ac:dyDescent="0.2">
      <c r="A33" s="1343">
        <v>3</v>
      </c>
      <c r="B33" s="958" t="s">
        <v>105</v>
      </c>
      <c r="I33" s="1343">
        <v>13</v>
      </c>
      <c r="J33" s="963" t="s">
        <v>101</v>
      </c>
      <c r="K33" s="964"/>
      <c r="L33" s="964"/>
      <c r="M33" s="964"/>
      <c r="N33" s="964"/>
      <c r="O33" s="965"/>
    </row>
    <row r="34" spans="1:15" x14ac:dyDescent="0.2">
      <c r="A34" s="1343">
        <v>4</v>
      </c>
      <c r="B34" s="518" t="s">
        <v>102</v>
      </c>
      <c r="I34" s="1343">
        <v>14</v>
      </c>
      <c r="J34" s="963" t="s">
        <v>120</v>
      </c>
      <c r="K34" s="964"/>
      <c r="L34" s="964"/>
      <c r="M34" s="964"/>
      <c r="N34" s="964"/>
      <c r="O34" s="965"/>
    </row>
    <row r="35" spans="1:15" x14ac:dyDescent="0.2">
      <c r="A35" s="1343">
        <v>5</v>
      </c>
      <c r="B35" s="518" t="s">
        <v>122</v>
      </c>
      <c r="I35" s="1343">
        <v>15</v>
      </c>
      <c r="J35" s="963" t="s">
        <v>207</v>
      </c>
      <c r="K35" s="964"/>
      <c r="L35" s="964"/>
      <c r="M35" s="964"/>
      <c r="N35" s="964"/>
      <c r="O35" s="965"/>
    </row>
    <row r="36" spans="1:15" x14ac:dyDescent="0.2">
      <c r="A36" s="1343">
        <v>6</v>
      </c>
      <c r="B36" s="518" t="s">
        <v>99</v>
      </c>
      <c r="I36" s="1343">
        <v>16</v>
      </c>
      <c r="J36" s="963" t="s">
        <v>119</v>
      </c>
      <c r="K36" s="964"/>
      <c r="L36" s="964"/>
      <c r="M36" s="964"/>
      <c r="N36" s="964"/>
      <c r="O36" s="965"/>
    </row>
    <row r="37" spans="1:15" x14ac:dyDescent="0.2">
      <c r="A37" s="1343">
        <v>7</v>
      </c>
      <c r="B37" s="518" t="s">
        <v>117</v>
      </c>
      <c r="I37" s="1343">
        <v>17</v>
      </c>
      <c r="J37" s="963" t="s">
        <v>125</v>
      </c>
      <c r="K37" s="964"/>
      <c r="L37" s="964"/>
      <c r="M37" s="964"/>
      <c r="N37" s="964"/>
      <c r="O37" s="965"/>
    </row>
    <row r="38" spans="1:15" x14ac:dyDescent="0.2">
      <c r="A38" s="1343">
        <v>8</v>
      </c>
      <c r="B38" s="518" t="s">
        <v>209</v>
      </c>
      <c r="I38" s="1344">
        <v>18</v>
      </c>
      <c r="J38" s="966" t="s">
        <v>130</v>
      </c>
      <c r="K38" s="964"/>
      <c r="L38" s="964"/>
      <c r="M38" s="964"/>
      <c r="N38" s="964"/>
      <c r="O38" s="965"/>
    </row>
    <row r="39" spans="1:15" x14ac:dyDescent="0.2">
      <c r="A39" s="1343">
        <v>9</v>
      </c>
      <c r="B39" s="518" t="s">
        <v>96</v>
      </c>
      <c r="I39" s="1343">
        <v>19</v>
      </c>
      <c r="J39" s="963" t="s">
        <v>126</v>
      </c>
      <c r="K39" s="964"/>
      <c r="L39" s="964"/>
      <c r="M39" s="964"/>
      <c r="N39" s="964"/>
      <c r="O39" s="965"/>
    </row>
    <row r="40" spans="1:15" x14ac:dyDescent="0.2">
      <c r="A40" s="1343">
        <v>10</v>
      </c>
      <c r="B40" s="518" t="s">
        <v>208</v>
      </c>
      <c r="I40" s="1343">
        <v>20</v>
      </c>
      <c r="J40" s="963" t="s">
        <v>124</v>
      </c>
      <c r="K40" s="964"/>
      <c r="L40" s="964"/>
      <c r="M40" s="964"/>
      <c r="N40" s="964"/>
      <c r="O40" s="965"/>
    </row>
  </sheetData>
  <sortState ref="A33:B53">
    <sortCondition ref="A33"/>
  </sortState>
  <conditionalFormatting sqref="AD7:AD26">
    <cfRule type="cellIs" dxfId="37" priority="25" stopIfTrue="1" operator="equal">
      <formula>3</formula>
    </cfRule>
    <cfRule type="cellIs" dxfId="36" priority="26" stopIfTrue="1" operator="equal">
      <formula>2</formula>
    </cfRule>
    <cfRule type="cellIs" dxfId="35" priority="27" stopIfTrue="1" operator="equal">
      <formula>1</formula>
    </cfRule>
  </conditionalFormatting>
  <conditionalFormatting sqref="B7:B26">
    <cfRule type="expression" dxfId="34" priority="18">
      <formula>E7="k"</formula>
    </cfRule>
    <cfRule type="expression" dxfId="33" priority="19">
      <formula>C7="n"</formula>
    </cfRule>
    <cfRule type="expression" dxfId="32" priority="20">
      <formula>D7="j"</formula>
    </cfRule>
  </conditionalFormatting>
  <conditionalFormatting sqref="AC7:AC26">
    <cfRule type="duplicateValues" dxfId="31" priority="3186"/>
  </conditionalFormatting>
  <conditionalFormatting sqref="H7:Z7 I8:Z8 J9:Z9 K10:Z10 L11:Z11 M12:Z12 N13:Z13 O14:Z14 P15:Z15 Q16:Z16 R17:Z17 S18:Z18 T19:Z19 U20:Z20 V21:Z21 W22:Z22 X23:Z23 Y24:Z24 Z25">
    <cfRule type="expression" dxfId="30" priority="2">
      <formula>H7&lt;INDIRECT(ADDRESS(ROW()+H$6-$F7,COLUMN()-H$6+$F7))</formula>
    </cfRule>
    <cfRule type="expression" dxfId="29" priority="5">
      <formula>IF(H7="",IF(H7&lt;=0,TRUE))</formula>
    </cfRule>
    <cfRule type="expression" dxfId="28" priority="6">
      <formula>H7=INDIRECT(ADDRESS(ROW()+H$6-$F7,COLUMN()-H$6+$F7))</formula>
    </cfRule>
    <cfRule type="expression" dxfId="27" priority="7">
      <formula>H7&gt;INDIRECT(ADDRESS(ROW()+H$6-$F7,COLUMN()-H$6+$F7))</formula>
    </cfRule>
    <cfRule type="expression" dxfId="26" priority="9">
      <formula>NOT(NOT(ISBLANK(H7))+(H7=(INDIRECT(ADDRESS(ROW()+H$6-$F7,COLUMN()-H$6+$F7)))))</formula>
    </cfRule>
  </conditionalFormatting>
  <conditionalFormatting sqref="G8 G9:H9 G10:I10 G11:J11 G12:K12 G13:L13 G14:M14 G15:N15 G16:O16 G17:P17 G18:Q18 G19:R19 G20:S20 G21:T21 G22:U22 G23:V23 G24:W24 G25:X25 G26:Y26">
    <cfRule type="expression" dxfId="25" priority="1">
      <formula>G8&lt;INDIRECT(ADDRESS(ROW()-$F8+G$6,COLUMN()+$F8-G$6))</formula>
    </cfRule>
    <cfRule type="expression" dxfId="24" priority="3">
      <formula>IF(G8="",IF(G8&lt;=0,TRUE))</formula>
    </cfRule>
    <cfRule type="expression" dxfId="23" priority="4">
      <formula>G8=INDIRECT(ADDRESS(ROW()-$F8+G$6,COLUMN()+$F8-G$6))</formula>
    </cfRule>
    <cfRule type="expression" dxfId="22" priority="8">
      <formula>G8&gt;INDIRECT(ADDRESS(ROW()-$F8+G$6,COLUMN()+$F8-G$6))</formula>
    </cfRule>
    <cfRule type="expression" dxfId="21" priority="10">
      <formula>NOT(NOT(ISBLANK(G8))+(G8=(INDIRECT(ADDRESS(ROW()-$F8+G$6,COLUMN()+$F8-G$6)))))</formula>
    </cfRule>
  </conditionalFormatting>
  <pageMargins left="0.39370078740157483" right="0.39370078740157483" top="0.78740157480314965" bottom="0.39370078740157483" header="0.59055118110236227" footer="0"/>
  <pageSetup paperSize="9" orientation="landscape" horizontalDpi="1200" verticalDpi="1200"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00B050"/>
    <pageSetUpPr fitToPage="1"/>
  </sheetPr>
  <dimension ref="A1:P64"/>
  <sheetViews>
    <sheetView showGridLines="0" showRowColHeaders="0" zoomScaleNormal="100" workbookViewId="0">
      <pane ySplit="2" topLeftCell="A3" activePane="bottomLeft" state="frozen"/>
      <selection activeCell="J40" sqref="J40"/>
      <selection pane="bottomLeft" activeCell="P1" sqref="P1"/>
    </sheetView>
  </sheetViews>
  <sheetFormatPr defaultRowHeight="12.75" x14ac:dyDescent="0.2"/>
  <cols>
    <col min="1" max="1" width="3" style="34" customWidth="1"/>
    <col min="2" max="2" width="4" style="34" hidden="1" customWidth="1"/>
    <col min="3" max="3" width="3" style="34" customWidth="1"/>
    <col min="4" max="4" width="4" style="34" hidden="1" customWidth="1"/>
    <col min="5" max="5" width="3" style="34" customWidth="1"/>
    <col min="6" max="6" width="4" style="34" hidden="1" customWidth="1"/>
    <col min="7" max="7" width="3" style="34" customWidth="1"/>
    <col min="8" max="8" width="4" style="34" hidden="1" customWidth="1"/>
    <col min="9" max="9" width="5.140625" style="34" bestFit="1" customWidth="1"/>
    <col min="10" max="10" width="21.85546875" style="34" bestFit="1" customWidth="1"/>
    <col min="11" max="11" width="6.5703125" style="34" bestFit="1" customWidth="1"/>
    <col min="12" max="12" width="2.28515625" style="34" hidden="1" customWidth="1"/>
    <col min="13" max="13" width="6.7109375" style="34" bestFit="1" customWidth="1"/>
    <col min="14" max="15" width="6.7109375" style="34" customWidth="1"/>
    <col min="16" max="16" width="6.5703125" style="34" bestFit="1" customWidth="1"/>
    <col min="17" max="17" width="9.7109375" style="34" customWidth="1"/>
    <col min="18" max="16384" width="9.140625" style="34"/>
  </cols>
  <sheetData>
    <row r="1" spans="1:16" x14ac:dyDescent="0.2">
      <c r="A1" s="31" t="str">
        <f>UPPER((Kalend!E47)&amp;" - "&amp;(Kalend!C47)&amp;" - "&amp;(Kalend!D47))</f>
        <v>V-F-AS - VOKA ASETUSVÕISTLUS - ÜKSIK</v>
      </c>
      <c r="B1" s="986"/>
      <c r="C1" s="31"/>
      <c r="D1" s="986"/>
      <c r="E1" s="31"/>
      <c r="F1" s="986"/>
      <c r="G1" s="31"/>
      <c r="H1" s="986"/>
      <c r="I1" s="2"/>
      <c r="L1" s="597"/>
      <c r="M1" s="28" t="str">
        <f>HYPERLINK("#Kalend!I1","Kalender")</f>
        <v>Kalender</v>
      </c>
      <c r="O1" s="1361"/>
    </row>
    <row r="2" spans="1:16" x14ac:dyDescent="0.2">
      <c r="A2" s="2" t="str">
        <f>"Toimumisaeg: "&amp;(Kalend!A46)&amp;" kell "&amp;(Kalend!B47)</f>
        <v>Toimumisaeg: P, 23.09.2018 kell 11:00</v>
      </c>
      <c r="B2" s="2"/>
      <c r="C2" s="2"/>
      <c r="D2" s="2"/>
      <c r="E2" s="2"/>
      <c r="F2" s="2"/>
      <c r="G2" s="2"/>
      <c r="H2" s="2"/>
    </row>
    <row r="3" spans="1:16" x14ac:dyDescent="0.2">
      <c r="A3" s="2" t="str">
        <f>"Toimumiskoht: "&amp;(Kalend!F47)</f>
        <v>Toimumiskoht: Voka staadion</v>
      </c>
      <c r="B3" s="2"/>
      <c r="C3" s="2"/>
      <c r="D3" s="2"/>
      <c r="E3" s="2"/>
      <c r="F3" s="2"/>
      <c r="G3" s="2"/>
      <c r="H3" s="2"/>
      <c r="K3" s="185" t="s">
        <v>713</v>
      </c>
    </row>
    <row r="4" spans="1:16" x14ac:dyDescent="0.2">
      <c r="A4" s="2" t="str">
        <f>"Korraldaja: "&amp;(Kalend!G47)</f>
        <v>Korraldaja: Johannes Neiland</v>
      </c>
      <c r="B4" s="2"/>
      <c r="C4" s="2"/>
      <c r="D4" s="2"/>
      <c r="E4" s="2"/>
      <c r="F4" s="2"/>
      <c r="G4" s="2"/>
      <c r="H4" s="2"/>
      <c r="K4" s="995" t="s">
        <v>714</v>
      </c>
    </row>
    <row r="5" spans="1:16" x14ac:dyDescent="0.2">
      <c r="A5" s="2"/>
      <c r="B5" s="2"/>
      <c r="C5" s="2"/>
      <c r="D5" s="2"/>
      <c r="E5" s="2"/>
      <c r="F5" s="2"/>
      <c r="G5" s="2"/>
      <c r="H5" s="2"/>
    </row>
    <row r="6" spans="1:16" x14ac:dyDescent="0.2">
      <c r="A6" s="1390"/>
      <c r="B6" s="1390"/>
      <c r="C6" s="1390"/>
      <c r="D6" s="1390"/>
      <c r="E6" s="1390"/>
      <c r="F6" s="1390"/>
      <c r="G6" s="1390"/>
      <c r="H6" s="968"/>
      <c r="I6" s="1389" t="s">
        <v>80</v>
      </c>
      <c r="J6" s="968"/>
      <c r="K6" s="968"/>
      <c r="L6" s="968"/>
      <c r="M6" s="987" t="s">
        <v>683</v>
      </c>
      <c r="N6" s="987" t="s">
        <v>684</v>
      </c>
      <c r="O6" s="987" t="s">
        <v>685</v>
      </c>
      <c r="P6" s="987" t="s">
        <v>25</v>
      </c>
    </row>
    <row r="7" spans="1:16" x14ac:dyDescent="0.2">
      <c r="A7" s="979" t="s">
        <v>150</v>
      </c>
      <c r="B7" s="980" t="s">
        <v>150</v>
      </c>
      <c r="C7" s="151" t="s">
        <v>83</v>
      </c>
      <c r="D7" s="147" t="s">
        <v>83</v>
      </c>
      <c r="E7" s="153" t="s">
        <v>84</v>
      </c>
      <c r="F7" s="889" t="s">
        <v>84</v>
      </c>
      <c r="G7" s="993" t="s">
        <v>149</v>
      </c>
      <c r="H7" s="983" t="s">
        <v>149</v>
      </c>
      <c r="I7" s="1388" t="s">
        <v>82</v>
      </c>
      <c r="J7" s="970" t="s">
        <v>14</v>
      </c>
      <c r="K7" s="974" t="s">
        <v>681</v>
      </c>
      <c r="L7" s="976" t="s">
        <v>83</v>
      </c>
      <c r="M7" s="988" t="s">
        <v>712</v>
      </c>
      <c r="N7" s="988" t="s">
        <v>712</v>
      </c>
      <c r="O7" s="988" t="s">
        <v>712</v>
      </c>
      <c r="P7" s="988" t="s">
        <v>712</v>
      </c>
    </row>
    <row r="8" spans="1:16" x14ac:dyDescent="0.2">
      <c r="A8" s="981">
        <f t="shared" ref="A8:A39" si="0">IF(B8="","",COUNTIF(B$8:B$63,"&lt;="&amp;B8))</f>
        <v>1</v>
      </c>
      <c r="B8" s="982">
        <f>IF(L8&lt;&gt;"n",P8,"")</f>
        <v>30</v>
      </c>
      <c r="C8" s="978" t="str">
        <f t="shared" ref="C8:C39" si="1">IF(D8="","",COUNTIF(D$8:D$63,"&lt;="&amp;D8))</f>
        <v/>
      </c>
      <c r="D8" s="149" t="str">
        <f>IF(L8="n",P8,"")</f>
        <v/>
      </c>
      <c r="E8" s="994">
        <f t="shared" ref="E8:E39" si="2">IF(F8="","",COUNTIF(F$8:F$63,"&lt;="&amp;F8))</f>
        <v>1</v>
      </c>
      <c r="F8" s="984">
        <f>IF(AND(K8&gt;10,K8&lt;=16),P8,"")</f>
        <v>30</v>
      </c>
      <c r="G8" s="994" t="str">
        <f t="shared" ref="G8:G39" si="3">IF(H8="","",COUNTIF(H$8:H$63,"&lt;="&amp;H8))</f>
        <v/>
      </c>
      <c r="H8" s="985" t="str">
        <f>IF(K8&lt;=10,P8,"")</f>
        <v/>
      </c>
      <c r="I8" s="1388">
        <f t="shared" ref="I8:I39" si="4">RANK(P8,P$8:P$63,1)</f>
        <v>1</v>
      </c>
      <c r="J8" s="969" t="s">
        <v>125</v>
      </c>
      <c r="K8" s="975">
        <v>14</v>
      </c>
      <c r="L8" s="977"/>
      <c r="M8" s="971">
        <v>0</v>
      </c>
      <c r="N8" s="971">
        <v>11</v>
      </c>
      <c r="O8" s="971">
        <v>19</v>
      </c>
      <c r="P8" s="970">
        <f t="shared" ref="P8:P39" si="5">SUM(M8:O8)</f>
        <v>30</v>
      </c>
    </row>
    <row r="9" spans="1:16" x14ac:dyDescent="0.2">
      <c r="A9" s="981">
        <f t="shared" si="0"/>
        <v>2</v>
      </c>
      <c r="B9" s="982">
        <f t="shared" ref="B9:B63" si="6">IF(L9&lt;&gt;"n",P9,"")</f>
        <v>50</v>
      </c>
      <c r="C9" s="978" t="str">
        <f t="shared" si="1"/>
        <v/>
      </c>
      <c r="D9" s="149" t="str">
        <f t="shared" ref="D9:D63" si="7">IF(L9="n",P9,"")</f>
        <v/>
      </c>
      <c r="E9" s="994" t="str">
        <f t="shared" si="2"/>
        <v/>
      </c>
      <c r="F9" s="984" t="str">
        <f t="shared" ref="F9:F63" si="8">IF(AND(K9&gt;10,K9&lt;=16),P9,"")</f>
        <v/>
      </c>
      <c r="G9" s="994" t="str">
        <f t="shared" si="3"/>
        <v/>
      </c>
      <c r="H9" s="985" t="str">
        <f t="shared" ref="H9:H63" si="9">IF(K9&lt;=10,P9,"")</f>
        <v/>
      </c>
      <c r="I9" s="1388">
        <f t="shared" si="4"/>
        <v>2</v>
      </c>
      <c r="J9" s="969" t="s">
        <v>105</v>
      </c>
      <c r="K9" s="975">
        <v>53</v>
      </c>
      <c r="L9" s="977"/>
      <c r="M9" s="971">
        <v>8</v>
      </c>
      <c r="N9" s="971">
        <v>25</v>
      </c>
      <c r="O9" s="971">
        <v>17</v>
      </c>
      <c r="P9" s="970">
        <f t="shared" si="5"/>
        <v>50</v>
      </c>
    </row>
    <row r="10" spans="1:16" x14ac:dyDescent="0.2">
      <c r="A10" s="981" t="str">
        <f t="shared" si="0"/>
        <v/>
      </c>
      <c r="B10" s="982" t="str">
        <f t="shared" si="6"/>
        <v/>
      </c>
      <c r="C10" s="978">
        <f t="shared" si="1"/>
        <v>1</v>
      </c>
      <c r="D10" s="149">
        <f t="shared" si="7"/>
        <v>51</v>
      </c>
      <c r="E10" s="994" t="str">
        <f t="shared" si="2"/>
        <v/>
      </c>
      <c r="F10" s="984" t="str">
        <f t="shared" si="8"/>
        <v/>
      </c>
      <c r="G10" s="994" t="str">
        <f t="shared" si="3"/>
        <v/>
      </c>
      <c r="H10" s="985" t="str">
        <f t="shared" si="9"/>
        <v/>
      </c>
      <c r="I10" s="1388">
        <f t="shared" si="4"/>
        <v>3</v>
      </c>
      <c r="J10" s="969" t="s">
        <v>130</v>
      </c>
      <c r="K10" s="975">
        <v>43</v>
      </c>
      <c r="L10" s="977" t="s">
        <v>137</v>
      </c>
      <c r="M10" s="971">
        <v>1</v>
      </c>
      <c r="N10" s="971">
        <v>22</v>
      </c>
      <c r="O10" s="971">
        <v>28</v>
      </c>
      <c r="P10" s="970">
        <f t="shared" si="5"/>
        <v>51</v>
      </c>
    </row>
    <row r="11" spans="1:16" x14ac:dyDescent="0.2">
      <c r="A11" s="981">
        <f t="shared" si="0"/>
        <v>3</v>
      </c>
      <c r="B11" s="982">
        <f t="shared" si="6"/>
        <v>69</v>
      </c>
      <c r="C11" s="978" t="str">
        <f t="shared" si="1"/>
        <v/>
      </c>
      <c r="D11" s="149" t="str">
        <f t="shared" si="7"/>
        <v/>
      </c>
      <c r="E11" s="994" t="str">
        <f t="shared" si="2"/>
        <v/>
      </c>
      <c r="F11" s="984" t="str">
        <f t="shared" si="8"/>
        <v/>
      </c>
      <c r="G11" s="994" t="str">
        <f t="shared" si="3"/>
        <v/>
      </c>
      <c r="H11" s="985" t="str">
        <f t="shared" si="9"/>
        <v/>
      </c>
      <c r="I11" s="1388">
        <f t="shared" si="4"/>
        <v>4</v>
      </c>
      <c r="J11" s="969" t="s">
        <v>207</v>
      </c>
      <c r="K11" s="975">
        <v>52</v>
      </c>
      <c r="L11" s="977"/>
      <c r="M11" s="971">
        <v>3</v>
      </c>
      <c r="N11" s="971">
        <v>19</v>
      </c>
      <c r="O11" s="971">
        <v>47</v>
      </c>
      <c r="P11" s="970">
        <f t="shared" si="5"/>
        <v>69</v>
      </c>
    </row>
    <row r="12" spans="1:16" x14ac:dyDescent="0.2">
      <c r="A12" s="981">
        <f t="shared" si="0"/>
        <v>4</v>
      </c>
      <c r="B12" s="982">
        <f t="shared" si="6"/>
        <v>72</v>
      </c>
      <c r="C12" s="978" t="str">
        <f t="shared" si="1"/>
        <v/>
      </c>
      <c r="D12" s="149" t="str">
        <f t="shared" si="7"/>
        <v/>
      </c>
      <c r="E12" s="994" t="str">
        <f t="shared" si="2"/>
        <v/>
      </c>
      <c r="F12" s="984" t="str">
        <f t="shared" si="8"/>
        <v/>
      </c>
      <c r="G12" s="994" t="str">
        <f t="shared" si="3"/>
        <v/>
      </c>
      <c r="H12" s="985" t="str">
        <f t="shared" si="9"/>
        <v/>
      </c>
      <c r="I12" s="1388">
        <f t="shared" si="4"/>
        <v>5</v>
      </c>
      <c r="J12" s="969" t="s">
        <v>93</v>
      </c>
      <c r="K12" s="975">
        <v>57</v>
      </c>
      <c r="L12" s="977"/>
      <c r="M12" s="971">
        <v>10</v>
      </c>
      <c r="N12" s="971">
        <v>16</v>
      </c>
      <c r="O12" s="971">
        <v>46</v>
      </c>
      <c r="P12" s="970">
        <f t="shared" si="5"/>
        <v>72</v>
      </c>
    </row>
    <row r="13" spans="1:16" x14ac:dyDescent="0.2">
      <c r="A13" s="981">
        <f t="shared" si="0"/>
        <v>5</v>
      </c>
      <c r="B13" s="982">
        <f t="shared" si="6"/>
        <v>93</v>
      </c>
      <c r="C13" s="978" t="str">
        <f t="shared" si="1"/>
        <v/>
      </c>
      <c r="D13" s="149" t="str">
        <f t="shared" si="7"/>
        <v/>
      </c>
      <c r="E13" s="994" t="str">
        <f t="shared" si="2"/>
        <v/>
      </c>
      <c r="F13" s="984" t="str">
        <f t="shared" si="8"/>
        <v/>
      </c>
      <c r="G13" s="994" t="str">
        <f t="shared" si="3"/>
        <v/>
      </c>
      <c r="H13" s="985" t="str">
        <f t="shared" si="9"/>
        <v/>
      </c>
      <c r="I13" s="1388">
        <f t="shared" si="4"/>
        <v>6</v>
      </c>
      <c r="J13" s="969" t="s">
        <v>120</v>
      </c>
      <c r="K13" s="975">
        <v>37</v>
      </c>
      <c r="L13" s="977"/>
      <c r="M13" s="971">
        <v>15</v>
      </c>
      <c r="N13" s="971">
        <v>21</v>
      </c>
      <c r="O13" s="971">
        <v>57</v>
      </c>
      <c r="P13" s="970">
        <f t="shared" si="5"/>
        <v>93</v>
      </c>
    </row>
    <row r="14" spans="1:16" x14ac:dyDescent="0.2">
      <c r="A14" s="981">
        <f t="shared" si="0"/>
        <v>7</v>
      </c>
      <c r="B14" s="982">
        <f t="shared" si="6"/>
        <v>95</v>
      </c>
      <c r="C14" s="978" t="str">
        <f t="shared" si="1"/>
        <v/>
      </c>
      <c r="D14" s="149" t="str">
        <f t="shared" si="7"/>
        <v/>
      </c>
      <c r="E14" s="994" t="str">
        <f t="shared" si="2"/>
        <v/>
      </c>
      <c r="F14" s="984" t="str">
        <f t="shared" si="8"/>
        <v/>
      </c>
      <c r="G14" s="994" t="str">
        <f t="shared" si="3"/>
        <v/>
      </c>
      <c r="H14" s="985" t="str">
        <f t="shared" si="9"/>
        <v/>
      </c>
      <c r="I14" s="1388">
        <f t="shared" si="4"/>
        <v>7</v>
      </c>
      <c r="J14" s="969" t="s">
        <v>262</v>
      </c>
      <c r="K14" s="975">
        <v>48</v>
      </c>
      <c r="L14" s="977"/>
      <c r="M14" s="971">
        <v>10</v>
      </c>
      <c r="N14" s="971">
        <v>35</v>
      </c>
      <c r="O14" s="971">
        <v>50</v>
      </c>
      <c r="P14" s="970">
        <f t="shared" si="5"/>
        <v>95</v>
      </c>
    </row>
    <row r="15" spans="1:16" x14ac:dyDescent="0.2">
      <c r="A15" s="981">
        <f t="shared" si="0"/>
        <v>7</v>
      </c>
      <c r="B15" s="982">
        <f t="shared" si="6"/>
        <v>95</v>
      </c>
      <c r="C15" s="978" t="str">
        <f t="shared" si="1"/>
        <v/>
      </c>
      <c r="D15" s="149" t="str">
        <f t="shared" si="7"/>
        <v/>
      </c>
      <c r="E15" s="994" t="str">
        <f t="shared" si="2"/>
        <v/>
      </c>
      <c r="F15" s="984" t="str">
        <f t="shared" si="8"/>
        <v/>
      </c>
      <c r="G15" s="994" t="str">
        <f t="shared" si="3"/>
        <v/>
      </c>
      <c r="H15" s="985" t="str">
        <f t="shared" si="9"/>
        <v/>
      </c>
      <c r="I15" s="1388">
        <f t="shared" si="4"/>
        <v>7</v>
      </c>
      <c r="J15" s="969" t="s">
        <v>96</v>
      </c>
      <c r="K15" s="975">
        <v>79</v>
      </c>
      <c r="L15" s="977"/>
      <c r="M15" s="971">
        <v>22</v>
      </c>
      <c r="N15" s="971">
        <v>34</v>
      </c>
      <c r="O15" s="971">
        <v>39</v>
      </c>
      <c r="P15" s="970">
        <f t="shared" si="5"/>
        <v>95</v>
      </c>
    </row>
    <row r="16" spans="1:16" x14ac:dyDescent="0.2">
      <c r="A16" s="981" t="str">
        <f t="shared" si="0"/>
        <v/>
      </c>
      <c r="B16" s="982" t="str">
        <f t="shared" si="6"/>
        <v/>
      </c>
      <c r="C16" s="978">
        <f t="shared" si="1"/>
        <v>2</v>
      </c>
      <c r="D16" s="149">
        <f t="shared" si="7"/>
        <v>105</v>
      </c>
      <c r="E16" s="994" t="str">
        <f t="shared" si="2"/>
        <v/>
      </c>
      <c r="F16" s="984" t="str">
        <f t="shared" si="8"/>
        <v/>
      </c>
      <c r="G16" s="994">
        <f t="shared" si="3"/>
        <v>1</v>
      </c>
      <c r="H16" s="985">
        <f t="shared" si="9"/>
        <v>105</v>
      </c>
      <c r="I16" s="1388">
        <f t="shared" si="4"/>
        <v>9</v>
      </c>
      <c r="J16" s="969" t="s">
        <v>687</v>
      </c>
      <c r="K16" s="975">
        <v>10</v>
      </c>
      <c r="L16" s="977" t="s">
        <v>137</v>
      </c>
      <c r="M16" s="971">
        <v>30</v>
      </c>
      <c r="N16" s="971">
        <v>36</v>
      </c>
      <c r="O16" s="971">
        <v>39</v>
      </c>
      <c r="P16" s="970">
        <f t="shared" si="5"/>
        <v>105</v>
      </c>
    </row>
    <row r="17" spans="1:16" x14ac:dyDescent="0.2">
      <c r="A17" s="981">
        <f t="shared" si="0"/>
        <v>8</v>
      </c>
      <c r="B17" s="982">
        <f t="shared" si="6"/>
        <v>120</v>
      </c>
      <c r="C17" s="978" t="str">
        <f t="shared" si="1"/>
        <v/>
      </c>
      <c r="D17" s="149" t="str">
        <f t="shared" si="7"/>
        <v/>
      </c>
      <c r="E17" s="994" t="str">
        <f t="shared" si="2"/>
        <v/>
      </c>
      <c r="F17" s="984" t="str">
        <f t="shared" si="8"/>
        <v/>
      </c>
      <c r="G17" s="994" t="str">
        <f t="shared" si="3"/>
        <v/>
      </c>
      <c r="H17" s="985" t="str">
        <f t="shared" si="9"/>
        <v/>
      </c>
      <c r="I17" s="1388">
        <f t="shared" si="4"/>
        <v>10</v>
      </c>
      <c r="J17" s="969" t="s">
        <v>90</v>
      </c>
      <c r="K17" s="975">
        <v>42</v>
      </c>
      <c r="L17" s="977"/>
      <c r="M17" s="971">
        <v>14</v>
      </c>
      <c r="N17" s="971">
        <v>55</v>
      </c>
      <c r="O17" s="971">
        <v>51</v>
      </c>
      <c r="P17" s="970">
        <f t="shared" si="5"/>
        <v>120</v>
      </c>
    </row>
    <row r="18" spans="1:16" x14ac:dyDescent="0.2">
      <c r="A18" s="981" t="str">
        <f t="shared" si="0"/>
        <v/>
      </c>
      <c r="B18" s="982" t="str">
        <f t="shared" si="6"/>
        <v/>
      </c>
      <c r="C18" s="978">
        <f t="shared" si="1"/>
        <v>3</v>
      </c>
      <c r="D18" s="149">
        <f t="shared" si="7"/>
        <v>125</v>
      </c>
      <c r="E18" s="994" t="str">
        <f t="shared" si="2"/>
        <v/>
      </c>
      <c r="F18" s="984" t="str">
        <f t="shared" si="8"/>
        <v/>
      </c>
      <c r="G18" s="994" t="str">
        <f t="shared" si="3"/>
        <v/>
      </c>
      <c r="H18" s="985" t="str">
        <f t="shared" si="9"/>
        <v/>
      </c>
      <c r="I18" s="1388">
        <f t="shared" si="4"/>
        <v>11</v>
      </c>
      <c r="J18" s="969" t="s">
        <v>690</v>
      </c>
      <c r="K18" s="975">
        <v>72</v>
      </c>
      <c r="L18" s="977" t="s">
        <v>137</v>
      </c>
      <c r="M18" s="971">
        <v>9</v>
      </c>
      <c r="N18" s="971">
        <v>44</v>
      </c>
      <c r="O18" s="971">
        <v>72</v>
      </c>
      <c r="P18" s="970">
        <f t="shared" si="5"/>
        <v>125</v>
      </c>
    </row>
    <row r="19" spans="1:16" x14ac:dyDescent="0.2">
      <c r="A19" s="981">
        <f t="shared" si="0"/>
        <v>10</v>
      </c>
      <c r="B19" s="982">
        <f t="shared" si="6"/>
        <v>129</v>
      </c>
      <c r="C19" s="978" t="str">
        <f t="shared" si="1"/>
        <v/>
      </c>
      <c r="D19" s="149" t="str">
        <f t="shared" si="7"/>
        <v/>
      </c>
      <c r="E19" s="994" t="str">
        <f t="shared" si="2"/>
        <v/>
      </c>
      <c r="F19" s="984" t="str">
        <f t="shared" si="8"/>
        <v/>
      </c>
      <c r="G19" s="994" t="str">
        <f t="shared" si="3"/>
        <v/>
      </c>
      <c r="H19" s="985" t="str">
        <f t="shared" si="9"/>
        <v/>
      </c>
      <c r="I19" s="1388">
        <f t="shared" si="4"/>
        <v>12</v>
      </c>
      <c r="J19" s="969" t="s">
        <v>209</v>
      </c>
      <c r="K19" s="975">
        <v>31</v>
      </c>
      <c r="L19" s="977"/>
      <c r="M19" s="971">
        <v>27</v>
      </c>
      <c r="N19" s="971">
        <v>43</v>
      </c>
      <c r="O19" s="971">
        <v>59</v>
      </c>
      <c r="P19" s="970">
        <f t="shared" si="5"/>
        <v>129</v>
      </c>
    </row>
    <row r="20" spans="1:16" x14ac:dyDescent="0.2">
      <c r="A20" s="981">
        <f t="shared" si="0"/>
        <v>10</v>
      </c>
      <c r="B20" s="982">
        <f t="shared" si="6"/>
        <v>129</v>
      </c>
      <c r="C20" s="978" t="str">
        <f t="shared" si="1"/>
        <v/>
      </c>
      <c r="D20" s="149" t="str">
        <f t="shared" si="7"/>
        <v/>
      </c>
      <c r="E20" s="994" t="str">
        <f t="shared" si="2"/>
        <v/>
      </c>
      <c r="F20" s="984" t="str">
        <f t="shared" si="8"/>
        <v/>
      </c>
      <c r="G20" s="994" t="str">
        <f t="shared" si="3"/>
        <v/>
      </c>
      <c r="H20" s="985" t="str">
        <f t="shared" si="9"/>
        <v/>
      </c>
      <c r="I20" s="1388">
        <f t="shared" si="4"/>
        <v>12</v>
      </c>
      <c r="J20" s="969" t="s">
        <v>107</v>
      </c>
      <c r="K20" s="975">
        <v>39</v>
      </c>
      <c r="L20" s="977"/>
      <c r="M20" s="971">
        <v>20</v>
      </c>
      <c r="N20" s="971">
        <v>39</v>
      </c>
      <c r="O20" s="971">
        <v>70</v>
      </c>
      <c r="P20" s="970">
        <f t="shared" si="5"/>
        <v>129</v>
      </c>
    </row>
    <row r="21" spans="1:16" x14ac:dyDescent="0.2">
      <c r="A21" s="981">
        <f t="shared" si="0"/>
        <v>11</v>
      </c>
      <c r="B21" s="982">
        <f t="shared" si="6"/>
        <v>131</v>
      </c>
      <c r="C21" s="978" t="str">
        <f t="shared" si="1"/>
        <v/>
      </c>
      <c r="D21" s="149" t="str">
        <f t="shared" si="7"/>
        <v/>
      </c>
      <c r="E21" s="994" t="str">
        <f t="shared" si="2"/>
        <v/>
      </c>
      <c r="F21" s="984" t="str">
        <f t="shared" si="8"/>
        <v/>
      </c>
      <c r="G21" s="994" t="str">
        <f t="shared" si="3"/>
        <v/>
      </c>
      <c r="H21" s="985" t="str">
        <f t="shared" si="9"/>
        <v/>
      </c>
      <c r="I21" s="1388">
        <f t="shared" si="4"/>
        <v>14</v>
      </c>
      <c r="J21" s="969" t="s">
        <v>208</v>
      </c>
      <c r="K21" s="975">
        <v>60</v>
      </c>
      <c r="L21" s="977"/>
      <c r="M21" s="971">
        <v>22</v>
      </c>
      <c r="N21" s="971">
        <v>57</v>
      </c>
      <c r="O21" s="971">
        <v>52</v>
      </c>
      <c r="P21" s="970">
        <f t="shared" si="5"/>
        <v>131</v>
      </c>
    </row>
    <row r="22" spans="1:16" x14ac:dyDescent="0.2">
      <c r="A22" s="981">
        <f t="shared" si="0"/>
        <v>12</v>
      </c>
      <c r="B22" s="982">
        <f t="shared" si="6"/>
        <v>134</v>
      </c>
      <c r="C22" s="978" t="str">
        <f t="shared" si="1"/>
        <v/>
      </c>
      <c r="D22" s="149" t="str">
        <f t="shared" si="7"/>
        <v/>
      </c>
      <c r="E22" s="994" t="str">
        <f t="shared" si="2"/>
        <v/>
      </c>
      <c r="F22" s="984" t="str">
        <f t="shared" si="8"/>
        <v/>
      </c>
      <c r="G22" s="994" t="str">
        <f t="shared" si="3"/>
        <v/>
      </c>
      <c r="H22" s="985" t="str">
        <f t="shared" si="9"/>
        <v/>
      </c>
      <c r="I22" s="1388">
        <f t="shared" si="4"/>
        <v>15</v>
      </c>
      <c r="J22" s="969" t="s">
        <v>95</v>
      </c>
      <c r="K22" s="975">
        <v>77</v>
      </c>
      <c r="L22" s="977"/>
      <c r="M22" s="971">
        <v>22</v>
      </c>
      <c r="N22" s="971">
        <v>39</v>
      </c>
      <c r="O22" s="971">
        <v>73</v>
      </c>
      <c r="P22" s="970">
        <f t="shared" si="5"/>
        <v>134</v>
      </c>
    </row>
    <row r="23" spans="1:16" x14ac:dyDescent="0.2">
      <c r="A23" s="981">
        <f t="shared" si="0"/>
        <v>13</v>
      </c>
      <c r="B23" s="982">
        <f t="shared" si="6"/>
        <v>136</v>
      </c>
      <c r="C23" s="978" t="str">
        <f t="shared" si="1"/>
        <v/>
      </c>
      <c r="D23" s="149" t="str">
        <f t="shared" si="7"/>
        <v/>
      </c>
      <c r="E23" s="994" t="str">
        <f t="shared" si="2"/>
        <v/>
      </c>
      <c r="F23" s="984" t="str">
        <f t="shared" si="8"/>
        <v/>
      </c>
      <c r="G23" s="994">
        <f t="shared" si="3"/>
        <v>2</v>
      </c>
      <c r="H23" s="985">
        <f t="shared" si="9"/>
        <v>136</v>
      </c>
      <c r="I23" s="1388">
        <f t="shared" si="4"/>
        <v>16</v>
      </c>
      <c r="J23" s="969" t="s">
        <v>705</v>
      </c>
      <c r="K23" s="975">
        <v>9</v>
      </c>
      <c r="L23" s="977"/>
      <c r="M23" s="971">
        <v>9</v>
      </c>
      <c r="N23" s="971">
        <v>60</v>
      </c>
      <c r="O23" s="971">
        <v>67</v>
      </c>
      <c r="P23" s="970">
        <f t="shared" si="5"/>
        <v>136</v>
      </c>
    </row>
    <row r="24" spans="1:16" x14ac:dyDescent="0.2">
      <c r="A24" s="981" t="str">
        <f t="shared" si="0"/>
        <v/>
      </c>
      <c r="B24" s="982" t="str">
        <f t="shared" si="6"/>
        <v/>
      </c>
      <c r="C24" s="978">
        <f t="shared" si="1"/>
        <v>4</v>
      </c>
      <c r="D24" s="149">
        <f t="shared" si="7"/>
        <v>142</v>
      </c>
      <c r="E24" s="994" t="str">
        <f t="shared" si="2"/>
        <v/>
      </c>
      <c r="F24" s="984" t="str">
        <f t="shared" si="8"/>
        <v/>
      </c>
      <c r="G24" s="994">
        <f t="shared" si="3"/>
        <v>3</v>
      </c>
      <c r="H24" s="985">
        <f t="shared" si="9"/>
        <v>142</v>
      </c>
      <c r="I24" s="1388">
        <f t="shared" si="4"/>
        <v>17</v>
      </c>
      <c r="J24" s="969" t="s">
        <v>686</v>
      </c>
      <c r="K24" s="975">
        <v>8</v>
      </c>
      <c r="L24" s="977" t="s">
        <v>137</v>
      </c>
      <c r="M24" s="971">
        <v>6</v>
      </c>
      <c r="N24" s="971">
        <v>9</v>
      </c>
      <c r="O24" s="971">
        <v>127</v>
      </c>
      <c r="P24" s="970">
        <f t="shared" si="5"/>
        <v>142</v>
      </c>
    </row>
    <row r="25" spans="1:16" x14ac:dyDescent="0.2">
      <c r="A25" s="981" t="str">
        <f t="shared" si="0"/>
        <v/>
      </c>
      <c r="B25" s="982" t="str">
        <f t="shared" si="6"/>
        <v/>
      </c>
      <c r="C25" s="978">
        <f t="shared" si="1"/>
        <v>5</v>
      </c>
      <c r="D25" s="149">
        <f t="shared" si="7"/>
        <v>147</v>
      </c>
      <c r="E25" s="994" t="str">
        <f t="shared" si="2"/>
        <v/>
      </c>
      <c r="F25" s="984" t="str">
        <f t="shared" si="8"/>
        <v/>
      </c>
      <c r="G25" s="994" t="str">
        <f t="shared" si="3"/>
        <v/>
      </c>
      <c r="H25" s="985" t="str">
        <f t="shared" si="9"/>
        <v/>
      </c>
      <c r="I25" s="1388">
        <f t="shared" si="4"/>
        <v>18</v>
      </c>
      <c r="J25" s="969" t="s">
        <v>126</v>
      </c>
      <c r="K25" s="975">
        <v>29</v>
      </c>
      <c r="L25" s="977" t="s">
        <v>137</v>
      </c>
      <c r="M25" s="971">
        <v>37</v>
      </c>
      <c r="N25" s="971">
        <v>47</v>
      </c>
      <c r="O25" s="971">
        <v>63</v>
      </c>
      <c r="P25" s="970">
        <f t="shared" si="5"/>
        <v>147</v>
      </c>
    </row>
    <row r="26" spans="1:16" x14ac:dyDescent="0.2">
      <c r="A26" s="981" t="str">
        <f t="shared" si="0"/>
        <v/>
      </c>
      <c r="B26" s="982" t="str">
        <f t="shared" si="6"/>
        <v/>
      </c>
      <c r="C26" s="978">
        <f t="shared" si="1"/>
        <v>6</v>
      </c>
      <c r="D26" s="149">
        <f t="shared" si="7"/>
        <v>149</v>
      </c>
      <c r="E26" s="994" t="str">
        <f t="shared" si="2"/>
        <v/>
      </c>
      <c r="F26" s="984" t="str">
        <f t="shared" si="8"/>
        <v/>
      </c>
      <c r="G26" s="994" t="str">
        <f t="shared" si="3"/>
        <v/>
      </c>
      <c r="H26" s="985" t="str">
        <f t="shared" si="9"/>
        <v/>
      </c>
      <c r="I26" s="1388">
        <f t="shared" si="4"/>
        <v>19</v>
      </c>
      <c r="J26" s="969" t="s">
        <v>104</v>
      </c>
      <c r="K26" s="975">
        <v>41</v>
      </c>
      <c r="L26" s="977" t="s">
        <v>137</v>
      </c>
      <c r="M26" s="971">
        <v>31</v>
      </c>
      <c r="N26" s="971">
        <v>47</v>
      </c>
      <c r="O26" s="971">
        <v>71</v>
      </c>
      <c r="P26" s="970">
        <f t="shared" si="5"/>
        <v>149</v>
      </c>
    </row>
    <row r="27" spans="1:16" x14ac:dyDescent="0.2">
      <c r="A27" s="981">
        <f t="shared" si="0"/>
        <v>14</v>
      </c>
      <c r="B27" s="982">
        <f t="shared" si="6"/>
        <v>150</v>
      </c>
      <c r="C27" s="978" t="str">
        <f t="shared" si="1"/>
        <v/>
      </c>
      <c r="D27" s="149" t="str">
        <f t="shared" si="7"/>
        <v/>
      </c>
      <c r="E27" s="994" t="str">
        <f t="shared" si="2"/>
        <v/>
      </c>
      <c r="F27" s="984" t="str">
        <f t="shared" si="8"/>
        <v/>
      </c>
      <c r="G27" s="994" t="str">
        <f t="shared" si="3"/>
        <v/>
      </c>
      <c r="H27" s="985" t="str">
        <f t="shared" si="9"/>
        <v/>
      </c>
      <c r="I27" s="1388">
        <f t="shared" si="4"/>
        <v>20</v>
      </c>
      <c r="J27" s="969" t="s">
        <v>708</v>
      </c>
      <c r="K27" s="975">
        <v>34</v>
      </c>
      <c r="L27" s="977"/>
      <c r="M27" s="971">
        <v>24</v>
      </c>
      <c r="N27" s="971">
        <v>35</v>
      </c>
      <c r="O27" s="971">
        <v>91</v>
      </c>
      <c r="P27" s="970">
        <f t="shared" si="5"/>
        <v>150</v>
      </c>
    </row>
    <row r="28" spans="1:16" x14ac:dyDescent="0.2">
      <c r="A28" s="981">
        <f t="shared" si="0"/>
        <v>16</v>
      </c>
      <c r="B28" s="982">
        <f t="shared" si="6"/>
        <v>154</v>
      </c>
      <c r="C28" s="978" t="str">
        <f t="shared" si="1"/>
        <v/>
      </c>
      <c r="D28" s="149" t="str">
        <f t="shared" si="7"/>
        <v/>
      </c>
      <c r="E28" s="994" t="str">
        <f t="shared" si="2"/>
        <v/>
      </c>
      <c r="F28" s="984" t="str">
        <f t="shared" si="8"/>
        <v/>
      </c>
      <c r="G28" s="994" t="str">
        <f t="shared" si="3"/>
        <v/>
      </c>
      <c r="H28" s="985" t="str">
        <f t="shared" si="9"/>
        <v/>
      </c>
      <c r="I28" s="1388">
        <f t="shared" si="4"/>
        <v>21</v>
      </c>
      <c r="J28" s="969" t="s">
        <v>124</v>
      </c>
      <c r="K28" s="975">
        <v>51</v>
      </c>
      <c r="L28" s="977"/>
      <c r="M28" s="971">
        <v>24</v>
      </c>
      <c r="N28" s="971">
        <v>50</v>
      </c>
      <c r="O28" s="971">
        <v>80</v>
      </c>
      <c r="P28" s="970">
        <f t="shared" si="5"/>
        <v>154</v>
      </c>
    </row>
    <row r="29" spans="1:16" x14ac:dyDescent="0.2">
      <c r="A29" s="981">
        <f t="shared" si="0"/>
        <v>16</v>
      </c>
      <c r="B29" s="982">
        <f t="shared" si="6"/>
        <v>154</v>
      </c>
      <c r="C29" s="978" t="str">
        <f t="shared" si="1"/>
        <v/>
      </c>
      <c r="D29" s="149" t="str">
        <f t="shared" si="7"/>
        <v/>
      </c>
      <c r="E29" s="994" t="str">
        <f t="shared" si="2"/>
        <v/>
      </c>
      <c r="F29" s="984" t="str">
        <f t="shared" si="8"/>
        <v/>
      </c>
      <c r="G29" s="994" t="str">
        <f t="shared" si="3"/>
        <v/>
      </c>
      <c r="H29" s="985" t="str">
        <f t="shared" si="9"/>
        <v/>
      </c>
      <c r="I29" s="1388">
        <f t="shared" si="4"/>
        <v>21</v>
      </c>
      <c r="J29" s="969" t="s">
        <v>700</v>
      </c>
      <c r="K29" s="975">
        <v>51</v>
      </c>
      <c r="L29" s="977"/>
      <c r="M29" s="971">
        <v>20</v>
      </c>
      <c r="N29" s="971">
        <v>53</v>
      </c>
      <c r="O29" s="971">
        <v>81</v>
      </c>
      <c r="P29" s="970">
        <f t="shared" si="5"/>
        <v>154</v>
      </c>
    </row>
    <row r="30" spans="1:16" x14ac:dyDescent="0.2">
      <c r="A30" s="981">
        <f t="shared" si="0"/>
        <v>17</v>
      </c>
      <c r="B30" s="982">
        <f t="shared" si="6"/>
        <v>164</v>
      </c>
      <c r="C30" s="978" t="str">
        <f t="shared" si="1"/>
        <v/>
      </c>
      <c r="D30" s="149" t="str">
        <f t="shared" si="7"/>
        <v/>
      </c>
      <c r="E30" s="994" t="str">
        <f t="shared" si="2"/>
        <v/>
      </c>
      <c r="F30" s="984" t="str">
        <f t="shared" si="8"/>
        <v/>
      </c>
      <c r="G30" s="994" t="str">
        <f t="shared" si="3"/>
        <v/>
      </c>
      <c r="H30" s="985" t="str">
        <f t="shared" si="9"/>
        <v/>
      </c>
      <c r="I30" s="1388">
        <f t="shared" si="4"/>
        <v>23</v>
      </c>
      <c r="J30" s="969" t="s">
        <v>128</v>
      </c>
      <c r="K30" s="975">
        <v>30</v>
      </c>
      <c r="L30" s="977"/>
      <c r="M30" s="971">
        <v>18</v>
      </c>
      <c r="N30" s="971">
        <v>40</v>
      </c>
      <c r="O30" s="971">
        <v>106</v>
      </c>
      <c r="P30" s="970">
        <f t="shared" si="5"/>
        <v>164</v>
      </c>
    </row>
    <row r="31" spans="1:16" x14ac:dyDescent="0.2">
      <c r="A31" s="981" t="str">
        <f t="shared" si="0"/>
        <v/>
      </c>
      <c r="B31" s="982" t="str">
        <f t="shared" si="6"/>
        <v/>
      </c>
      <c r="C31" s="978">
        <f t="shared" si="1"/>
        <v>7</v>
      </c>
      <c r="D31" s="149">
        <f t="shared" si="7"/>
        <v>175</v>
      </c>
      <c r="E31" s="994" t="str">
        <f t="shared" si="2"/>
        <v/>
      </c>
      <c r="F31" s="984" t="str">
        <f t="shared" si="8"/>
        <v/>
      </c>
      <c r="G31" s="994">
        <f t="shared" si="3"/>
        <v>4</v>
      </c>
      <c r="H31" s="985">
        <f t="shared" si="9"/>
        <v>175</v>
      </c>
      <c r="I31" s="1388">
        <f t="shared" si="4"/>
        <v>24</v>
      </c>
      <c r="J31" s="969" t="s">
        <v>703</v>
      </c>
      <c r="K31" s="975">
        <v>4</v>
      </c>
      <c r="L31" s="977" t="s">
        <v>137</v>
      </c>
      <c r="M31" s="971">
        <v>26</v>
      </c>
      <c r="N31" s="971">
        <v>39</v>
      </c>
      <c r="O31" s="971">
        <v>110</v>
      </c>
      <c r="P31" s="970">
        <f t="shared" si="5"/>
        <v>175</v>
      </c>
    </row>
    <row r="32" spans="1:16" x14ac:dyDescent="0.2">
      <c r="A32" s="981">
        <f t="shared" si="0"/>
        <v>18</v>
      </c>
      <c r="B32" s="982">
        <f t="shared" si="6"/>
        <v>184</v>
      </c>
      <c r="C32" s="978" t="str">
        <f t="shared" si="1"/>
        <v/>
      </c>
      <c r="D32" s="149" t="str">
        <f t="shared" si="7"/>
        <v/>
      </c>
      <c r="E32" s="994" t="str">
        <f t="shared" si="2"/>
        <v/>
      </c>
      <c r="F32" s="984" t="str">
        <f t="shared" si="8"/>
        <v/>
      </c>
      <c r="G32" s="994" t="str">
        <f t="shared" si="3"/>
        <v/>
      </c>
      <c r="H32" s="985" t="str">
        <f t="shared" si="9"/>
        <v/>
      </c>
      <c r="I32" s="1388">
        <f t="shared" si="4"/>
        <v>25</v>
      </c>
      <c r="J32" s="969" t="s">
        <v>101</v>
      </c>
      <c r="K32" s="975">
        <v>60</v>
      </c>
      <c r="L32" s="977"/>
      <c r="M32" s="971">
        <v>35</v>
      </c>
      <c r="N32" s="971">
        <v>38</v>
      </c>
      <c r="O32" s="971">
        <v>111</v>
      </c>
      <c r="P32" s="970">
        <f t="shared" si="5"/>
        <v>184</v>
      </c>
    </row>
    <row r="33" spans="1:16" x14ac:dyDescent="0.2">
      <c r="A33" s="981">
        <f t="shared" si="0"/>
        <v>19</v>
      </c>
      <c r="B33" s="982">
        <f t="shared" si="6"/>
        <v>186</v>
      </c>
      <c r="C33" s="978" t="str">
        <f t="shared" si="1"/>
        <v/>
      </c>
      <c r="D33" s="149" t="str">
        <f t="shared" si="7"/>
        <v/>
      </c>
      <c r="E33" s="994" t="str">
        <f t="shared" si="2"/>
        <v/>
      </c>
      <c r="F33" s="984" t="str">
        <f t="shared" si="8"/>
        <v/>
      </c>
      <c r="G33" s="994" t="str">
        <f t="shared" si="3"/>
        <v/>
      </c>
      <c r="H33" s="985" t="str">
        <f t="shared" si="9"/>
        <v/>
      </c>
      <c r="I33" s="1388">
        <f t="shared" si="4"/>
        <v>26</v>
      </c>
      <c r="J33" s="969" t="s">
        <v>115</v>
      </c>
      <c r="K33" s="975">
        <v>77</v>
      </c>
      <c r="L33" s="977"/>
      <c r="M33" s="971">
        <v>62</v>
      </c>
      <c r="N33" s="971">
        <v>58</v>
      </c>
      <c r="O33" s="971">
        <v>66</v>
      </c>
      <c r="P33" s="970">
        <f t="shared" si="5"/>
        <v>186</v>
      </c>
    </row>
    <row r="34" spans="1:16" x14ac:dyDescent="0.2">
      <c r="A34" s="981">
        <f t="shared" si="0"/>
        <v>20</v>
      </c>
      <c r="B34" s="982">
        <f t="shared" si="6"/>
        <v>191</v>
      </c>
      <c r="C34" s="978" t="str">
        <f t="shared" si="1"/>
        <v/>
      </c>
      <c r="D34" s="149" t="str">
        <f t="shared" si="7"/>
        <v/>
      </c>
      <c r="E34" s="994" t="str">
        <f t="shared" si="2"/>
        <v/>
      </c>
      <c r="F34" s="984" t="str">
        <f t="shared" si="8"/>
        <v/>
      </c>
      <c r="G34" s="994" t="str">
        <f t="shared" si="3"/>
        <v/>
      </c>
      <c r="H34" s="985" t="str">
        <f t="shared" si="9"/>
        <v/>
      </c>
      <c r="I34" s="1388">
        <f t="shared" si="4"/>
        <v>27</v>
      </c>
      <c r="J34" s="969" t="s">
        <v>117</v>
      </c>
      <c r="K34" s="975">
        <v>56</v>
      </c>
      <c r="L34" s="977"/>
      <c r="M34" s="971">
        <v>22</v>
      </c>
      <c r="N34" s="971">
        <v>82</v>
      </c>
      <c r="O34" s="971">
        <v>87</v>
      </c>
      <c r="P34" s="970">
        <f t="shared" si="5"/>
        <v>191</v>
      </c>
    </row>
    <row r="35" spans="1:16" x14ac:dyDescent="0.2">
      <c r="A35" s="981" t="str">
        <f t="shared" si="0"/>
        <v/>
      </c>
      <c r="B35" s="982" t="str">
        <f t="shared" si="6"/>
        <v/>
      </c>
      <c r="C35" s="978">
        <f t="shared" si="1"/>
        <v>8</v>
      </c>
      <c r="D35" s="149">
        <f t="shared" si="7"/>
        <v>192</v>
      </c>
      <c r="E35" s="994">
        <f t="shared" si="2"/>
        <v>2</v>
      </c>
      <c r="F35" s="984">
        <f t="shared" si="8"/>
        <v>192</v>
      </c>
      <c r="G35" s="994" t="str">
        <f t="shared" si="3"/>
        <v/>
      </c>
      <c r="H35" s="985" t="str">
        <f t="shared" si="9"/>
        <v/>
      </c>
      <c r="I35" s="1388">
        <f t="shared" si="4"/>
        <v>28</v>
      </c>
      <c r="J35" s="969" t="s">
        <v>696</v>
      </c>
      <c r="K35" s="975">
        <v>14</v>
      </c>
      <c r="L35" s="977" t="s">
        <v>137</v>
      </c>
      <c r="M35" s="971">
        <v>35</v>
      </c>
      <c r="N35" s="971">
        <v>67</v>
      </c>
      <c r="O35" s="971">
        <v>90</v>
      </c>
      <c r="P35" s="970">
        <f t="shared" si="5"/>
        <v>192</v>
      </c>
    </row>
    <row r="36" spans="1:16" x14ac:dyDescent="0.2">
      <c r="A36" s="981" t="str">
        <f t="shared" si="0"/>
        <v/>
      </c>
      <c r="B36" s="982" t="str">
        <f t="shared" si="6"/>
        <v/>
      </c>
      <c r="C36" s="978">
        <f t="shared" si="1"/>
        <v>9</v>
      </c>
      <c r="D36" s="149">
        <f t="shared" si="7"/>
        <v>196</v>
      </c>
      <c r="E36" s="994" t="str">
        <f t="shared" si="2"/>
        <v/>
      </c>
      <c r="F36" s="984" t="str">
        <f t="shared" si="8"/>
        <v/>
      </c>
      <c r="G36" s="994" t="str">
        <f t="shared" si="3"/>
        <v/>
      </c>
      <c r="H36" s="985" t="str">
        <f t="shared" si="9"/>
        <v/>
      </c>
      <c r="I36" s="1388">
        <f t="shared" si="4"/>
        <v>29</v>
      </c>
      <c r="J36" s="969" t="s">
        <v>680</v>
      </c>
      <c r="K36" s="975">
        <v>88</v>
      </c>
      <c r="L36" s="977" t="s">
        <v>137</v>
      </c>
      <c r="M36" s="971">
        <v>30</v>
      </c>
      <c r="N36" s="971">
        <v>40</v>
      </c>
      <c r="O36" s="971">
        <v>126</v>
      </c>
      <c r="P36" s="970">
        <f t="shared" si="5"/>
        <v>196</v>
      </c>
    </row>
    <row r="37" spans="1:16" x14ac:dyDescent="0.2">
      <c r="A37" s="981" t="str">
        <f t="shared" si="0"/>
        <v/>
      </c>
      <c r="B37" s="982" t="str">
        <f t="shared" si="6"/>
        <v/>
      </c>
      <c r="C37" s="978">
        <f t="shared" si="1"/>
        <v>10</v>
      </c>
      <c r="D37" s="149">
        <f t="shared" si="7"/>
        <v>205</v>
      </c>
      <c r="E37" s="994" t="str">
        <f t="shared" si="2"/>
        <v/>
      </c>
      <c r="F37" s="984" t="str">
        <f t="shared" si="8"/>
        <v/>
      </c>
      <c r="G37" s="994" t="str">
        <f t="shared" si="3"/>
        <v/>
      </c>
      <c r="H37" s="985" t="str">
        <f t="shared" si="9"/>
        <v/>
      </c>
      <c r="I37" s="1388">
        <f t="shared" si="4"/>
        <v>30</v>
      </c>
      <c r="J37" s="969" t="s">
        <v>688</v>
      </c>
      <c r="K37" s="975">
        <v>47</v>
      </c>
      <c r="L37" s="977" t="s">
        <v>137</v>
      </c>
      <c r="M37" s="971">
        <v>61</v>
      </c>
      <c r="N37" s="971">
        <v>63</v>
      </c>
      <c r="O37" s="971">
        <v>81</v>
      </c>
      <c r="P37" s="970">
        <f t="shared" si="5"/>
        <v>205</v>
      </c>
    </row>
    <row r="38" spans="1:16" x14ac:dyDescent="0.2">
      <c r="A38" s="981">
        <f t="shared" si="0"/>
        <v>21</v>
      </c>
      <c r="B38" s="982">
        <f t="shared" si="6"/>
        <v>207</v>
      </c>
      <c r="C38" s="978" t="str">
        <f t="shared" si="1"/>
        <v/>
      </c>
      <c r="D38" s="149" t="str">
        <f t="shared" si="7"/>
        <v/>
      </c>
      <c r="E38" s="994" t="str">
        <f t="shared" si="2"/>
        <v/>
      </c>
      <c r="F38" s="984" t="str">
        <f t="shared" si="8"/>
        <v/>
      </c>
      <c r="G38" s="994" t="str">
        <f t="shared" si="3"/>
        <v/>
      </c>
      <c r="H38" s="985" t="str">
        <f t="shared" si="9"/>
        <v/>
      </c>
      <c r="I38" s="1388">
        <f t="shared" si="4"/>
        <v>31</v>
      </c>
      <c r="J38" s="969" t="s">
        <v>109</v>
      </c>
      <c r="K38" s="975">
        <v>31</v>
      </c>
      <c r="L38" s="977"/>
      <c r="M38" s="971">
        <v>70</v>
      </c>
      <c r="N38" s="971">
        <v>58</v>
      </c>
      <c r="O38" s="971">
        <v>79</v>
      </c>
      <c r="P38" s="970">
        <f t="shared" si="5"/>
        <v>207</v>
      </c>
    </row>
    <row r="39" spans="1:16" x14ac:dyDescent="0.2">
      <c r="A39" s="981" t="str">
        <f t="shared" si="0"/>
        <v/>
      </c>
      <c r="B39" s="982" t="str">
        <f t="shared" si="6"/>
        <v/>
      </c>
      <c r="C39" s="978">
        <f t="shared" si="1"/>
        <v>11</v>
      </c>
      <c r="D39" s="149">
        <f t="shared" si="7"/>
        <v>211</v>
      </c>
      <c r="E39" s="994" t="str">
        <f t="shared" si="2"/>
        <v/>
      </c>
      <c r="F39" s="984" t="str">
        <f t="shared" si="8"/>
        <v/>
      </c>
      <c r="G39" s="994">
        <f t="shared" si="3"/>
        <v>5</v>
      </c>
      <c r="H39" s="985">
        <f t="shared" si="9"/>
        <v>211</v>
      </c>
      <c r="I39" s="1388">
        <f t="shared" si="4"/>
        <v>32</v>
      </c>
      <c r="J39" s="969" t="s">
        <v>704</v>
      </c>
      <c r="K39" s="975">
        <v>6</v>
      </c>
      <c r="L39" s="977" t="s">
        <v>137</v>
      </c>
      <c r="M39" s="971">
        <v>45</v>
      </c>
      <c r="N39" s="971">
        <v>60</v>
      </c>
      <c r="O39" s="971">
        <v>106</v>
      </c>
      <c r="P39" s="970">
        <f t="shared" si="5"/>
        <v>211</v>
      </c>
    </row>
    <row r="40" spans="1:16" x14ac:dyDescent="0.2">
      <c r="A40" s="981">
        <f t="shared" ref="A40:A63" si="10">IF(B40="","",COUNTIF(B$8:B$63,"&lt;="&amp;B40))</f>
        <v>22</v>
      </c>
      <c r="B40" s="982">
        <f t="shared" si="6"/>
        <v>213</v>
      </c>
      <c r="C40" s="978" t="str">
        <f t="shared" ref="C40:C63" si="11">IF(D40="","",COUNTIF(D$8:D$63,"&lt;="&amp;D40))</f>
        <v/>
      </c>
      <c r="D40" s="149" t="str">
        <f t="shared" si="7"/>
        <v/>
      </c>
      <c r="E40" s="994" t="str">
        <f t="shared" ref="E40:E63" si="12">IF(F40="","",COUNTIF(F$8:F$63,"&lt;="&amp;F40))</f>
        <v/>
      </c>
      <c r="F40" s="984" t="str">
        <f t="shared" si="8"/>
        <v/>
      </c>
      <c r="G40" s="994" t="str">
        <f t="shared" ref="G40:G63" si="13">IF(H40="","",COUNTIF(H$8:H$63,"&lt;="&amp;H40))</f>
        <v/>
      </c>
      <c r="H40" s="985" t="str">
        <f t="shared" si="9"/>
        <v/>
      </c>
      <c r="I40" s="1388">
        <f t="shared" ref="I40:I63" si="14">RANK(P40,P$8:P$63,1)</f>
        <v>33</v>
      </c>
      <c r="J40" s="969" t="s">
        <v>682</v>
      </c>
      <c r="K40" s="975">
        <v>56</v>
      </c>
      <c r="L40" s="977"/>
      <c r="M40" s="971">
        <v>25</v>
      </c>
      <c r="N40" s="971">
        <v>90</v>
      </c>
      <c r="O40" s="971">
        <v>98</v>
      </c>
      <c r="P40" s="970">
        <f t="shared" ref="P40:P63" si="15">SUM(M40:O40)</f>
        <v>213</v>
      </c>
    </row>
    <row r="41" spans="1:16" x14ac:dyDescent="0.2">
      <c r="A41" s="981">
        <f t="shared" si="10"/>
        <v>23</v>
      </c>
      <c r="B41" s="982">
        <f t="shared" si="6"/>
        <v>219</v>
      </c>
      <c r="C41" s="978" t="str">
        <f t="shared" si="11"/>
        <v/>
      </c>
      <c r="D41" s="149" t="str">
        <f t="shared" si="7"/>
        <v/>
      </c>
      <c r="E41" s="994" t="str">
        <f t="shared" si="12"/>
        <v/>
      </c>
      <c r="F41" s="984" t="str">
        <f t="shared" si="8"/>
        <v/>
      </c>
      <c r="G41" s="994" t="str">
        <f t="shared" si="13"/>
        <v/>
      </c>
      <c r="H41" s="985" t="str">
        <f t="shared" si="9"/>
        <v/>
      </c>
      <c r="I41" s="1388">
        <f t="shared" si="14"/>
        <v>34</v>
      </c>
      <c r="J41" s="969" t="s">
        <v>94</v>
      </c>
      <c r="K41" s="975">
        <v>57</v>
      </c>
      <c r="L41" s="977"/>
      <c r="M41" s="971">
        <v>34</v>
      </c>
      <c r="N41" s="971">
        <v>37</v>
      </c>
      <c r="O41" s="971">
        <v>148</v>
      </c>
      <c r="P41" s="970">
        <f t="shared" si="15"/>
        <v>219</v>
      </c>
    </row>
    <row r="42" spans="1:16" x14ac:dyDescent="0.2">
      <c r="A42" s="981" t="str">
        <f t="shared" si="10"/>
        <v/>
      </c>
      <c r="B42" s="982" t="str">
        <f t="shared" si="6"/>
        <v/>
      </c>
      <c r="C42" s="978">
        <f t="shared" si="11"/>
        <v>12</v>
      </c>
      <c r="D42" s="149">
        <f t="shared" si="7"/>
        <v>225</v>
      </c>
      <c r="E42" s="994" t="str">
        <f t="shared" si="12"/>
        <v/>
      </c>
      <c r="F42" s="984" t="str">
        <f t="shared" si="8"/>
        <v/>
      </c>
      <c r="G42" s="994" t="str">
        <f t="shared" si="13"/>
        <v/>
      </c>
      <c r="H42" s="985" t="str">
        <f t="shared" si="9"/>
        <v/>
      </c>
      <c r="I42" s="1388">
        <f t="shared" si="14"/>
        <v>35</v>
      </c>
      <c r="J42" s="969" t="s">
        <v>706</v>
      </c>
      <c r="K42" s="975">
        <v>75</v>
      </c>
      <c r="L42" s="977" t="s">
        <v>137</v>
      </c>
      <c r="M42" s="971">
        <v>36</v>
      </c>
      <c r="N42" s="971">
        <v>91</v>
      </c>
      <c r="O42" s="971">
        <v>98</v>
      </c>
      <c r="P42" s="970">
        <f t="shared" si="15"/>
        <v>225</v>
      </c>
    </row>
    <row r="43" spans="1:16" x14ac:dyDescent="0.2">
      <c r="A43" s="981">
        <f t="shared" si="10"/>
        <v>24</v>
      </c>
      <c r="B43" s="982">
        <f t="shared" si="6"/>
        <v>226</v>
      </c>
      <c r="C43" s="978" t="str">
        <f t="shared" si="11"/>
        <v/>
      </c>
      <c r="D43" s="149" t="str">
        <f t="shared" si="7"/>
        <v/>
      </c>
      <c r="E43" s="994" t="str">
        <f t="shared" si="12"/>
        <v/>
      </c>
      <c r="F43" s="984" t="str">
        <f t="shared" si="8"/>
        <v/>
      </c>
      <c r="G43" s="994" t="str">
        <f t="shared" si="13"/>
        <v/>
      </c>
      <c r="H43" s="985" t="str">
        <f t="shared" si="9"/>
        <v/>
      </c>
      <c r="I43" s="1388">
        <f t="shared" si="14"/>
        <v>36</v>
      </c>
      <c r="J43" s="969" t="s">
        <v>123</v>
      </c>
      <c r="K43" s="975">
        <v>70</v>
      </c>
      <c r="L43" s="977"/>
      <c r="M43" s="971">
        <v>46</v>
      </c>
      <c r="N43" s="971">
        <v>81</v>
      </c>
      <c r="O43" s="971">
        <v>99</v>
      </c>
      <c r="P43" s="970">
        <f t="shared" si="15"/>
        <v>226</v>
      </c>
    </row>
    <row r="44" spans="1:16" x14ac:dyDescent="0.2">
      <c r="A44" s="981">
        <f t="shared" si="10"/>
        <v>25</v>
      </c>
      <c r="B44" s="982">
        <f t="shared" si="6"/>
        <v>227</v>
      </c>
      <c r="C44" s="978" t="str">
        <f t="shared" si="11"/>
        <v/>
      </c>
      <c r="D44" s="149" t="str">
        <f t="shared" si="7"/>
        <v/>
      </c>
      <c r="E44" s="994" t="str">
        <f t="shared" si="12"/>
        <v/>
      </c>
      <c r="F44" s="984" t="str">
        <f t="shared" si="8"/>
        <v/>
      </c>
      <c r="G44" s="994" t="str">
        <f t="shared" si="13"/>
        <v/>
      </c>
      <c r="H44" s="985" t="str">
        <f t="shared" si="9"/>
        <v/>
      </c>
      <c r="I44" s="1388">
        <f t="shared" si="14"/>
        <v>37</v>
      </c>
      <c r="J44" s="969" t="s">
        <v>122</v>
      </c>
      <c r="K44" s="975">
        <v>39</v>
      </c>
      <c r="L44" s="977"/>
      <c r="M44" s="971">
        <v>17</v>
      </c>
      <c r="N44" s="971">
        <v>68</v>
      </c>
      <c r="O44" s="971">
        <v>142</v>
      </c>
      <c r="P44" s="970">
        <f t="shared" si="15"/>
        <v>227</v>
      </c>
    </row>
    <row r="45" spans="1:16" x14ac:dyDescent="0.2">
      <c r="A45" s="981">
        <f t="shared" si="10"/>
        <v>26</v>
      </c>
      <c r="B45" s="982">
        <f t="shared" si="6"/>
        <v>231</v>
      </c>
      <c r="C45" s="978" t="str">
        <f t="shared" si="11"/>
        <v/>
      </c>
      <c r="D45" s="149" t="str">
        <f t="shared" si="7"/>
        <v/>
      </c>
      <c r="E45" s="994">
        <f t="shared" si="12"/>
        <v>3</v>
      </c>
      <c r="F45" s="984">
        <f t="shared" si="8"/>
        <v>231</v>
      </c>
      <c r="G45" s="994" t="str">
        <f t="shared" si="13"/>
        <v/>
      </c>
      <c r="H45" s="985" t="str">
        <f t="shared" si="9"/>
        <v/>
      </c>
      <c r="I45" s="1388">
        <f t="shared" si="14"/>
        <v>38</v>
      </c>
      <c r="J45" s="969" t="s">
        <v>695</v>
      </c>
      <c r="K45" s="975">
        <v>13</v>
      </c>
      <c r="L45" s="977"/>
      <c r="M45" s="971">
        <v>37</v>
      </c>
      <c r="N45" s="971">
        <v>56</v>
      </c>
      <c r="O45" s="971">
        <v>138</v>
      </c>
      <c r="P45" s="970">
        <f t="shared" si="15"/>
        <v>231</v>
      </c>
    </row>
    <row r="46" spans="1:16" x14ac:dyDescent="0.2">
      <c r="A46" s="981">
        <f t="shared" si="10"/>
        <v>27</v>
      </c>
      <c r="B46" s="982">
        <f t="shared" si="6"/>
        <v>245</v>
      </c>
      <c r="C46" s="978" t="str">
        <f t="shared" si="11"/>
        <v/>
      </c>
      <c r="D46" s="149" t="str">
        <f t="shared" si="7"/>
        <v/>
      </c>
      <c r="E46" s="994" t="str">
        <f t="shared" si="12"/>
        <v/>
      </c>
      <c r="F46" s="984" t="str">
        <f t="shared" si="8"/>
        <v/>
      </c>
      <c r="G46" s="994" t="str">
        <f t="shared" si="13"/>
        <v/>
      </c>
      <c r="H46" s="985" t="str">
        <f t="shared" si="9"/>
        <v/>
      </c>
      <c r="I46" s="1388">
        <f t="shared" si="14"/>
        <v>39</v>
      </c>
      <c r="J46" s="969" t="s">
        <v>97</v>
      </c>
      <c r="K46" s="975">
        <v>57</v>
      </c>
      <c r="L46" s="977"/>
      <c r="M46" s="971">
        <v>6</v>
      </c>
      <c r="N46" s="971">
        <v>80</v>
      </c>
      <c r="O46" s="971">
        <v>159</v>
      </c>
      <c r="P46" s="970">
        <f t="shared" si="15"/>
        <v>245</v>
      </c>
    </row>
    <row r="47" spans="1:16" x14ac:dyDescent="0.2">
      <c r="A47" s="981">
        <f t="shared" si="10"/>
        <v>28</v>
      </c>
      <c r="B47" s="982">
        <f t="shared" si="6"/>
        <v>253</v>
      </c>
      <c r="C47" s="978" t="str">
        <f t="shared" si="11"/>
        <v/>
      </c>
      <c r="D47" s="149" t="str">
        <f t="shared" si="7"/>
        <v/>
      </c>
      <c r="E47" s="994">
        <f t="shared" si="12"/>
        <v>4</v>
      </c>
      <c r="F47" s="984">
        <f t="shared" si="8"/>
        <v>253</v>
      </c>
      <c r="G47" s="994" t="str">
        <f t="shared" si="13"/>
        <v/>
      </c>
      <c r="H47" s="985" t="str">
        <f t="shared" si="9"/>
        <v/>
      </c>
      <c r="I47" s="1388">
        <f t="shared" si="14"/>
        <v>40</v>
      </c>
      <c r="J47" s="969" t="s">
        <v>615</v>
      </c>
      <c r="K47" s="975">
        <v>12</v>
      </c>
      <c r="L47" s="977"/>
      <c r="M47" s="971">
        <v>45</v>
      </c>
      <c r="N47" s="971">
        <v>80</v>
      </c>
      <c r="O47" s="971">
        <v>128</v>
      </c>
      <c r="P47" s="970">
        <f t="shared" si="15"/>
        <v>253</v>
      </c>
    </row>
    <row r="48" spans="1:16" x14ac:dyDescent="0.2">
      <c r="A48" s="981">
        <f t="shared" si="10"/>
        <v>29</v>
      </c>
      <c r="B48" s="982">
        <f t="shared" si="6"/>
        <v>259</v>
      </c>
      <c r="C48" s="978" t="str">
        <f t="shared" si="11"/>
        <v/>
      </c>
      <c r="D48" s="149" t="str">
        <f t="shared" si="7"/>
        <v/>
      </c>
      <c r="E48" s="994">
        <f t="shared" si="12"/>
        <v>5</v>
      </c>
      <c r="F48" s="984">
        <f t="shared" si="8"/>
        <v>259</v>
      </c>
      <c r="G48" s="994" t="str">
        <f t="shared" si="13"/>
        <v/>
      </c>
      <c r="H48" s="985" t="str">
        <f t="shared" si="9"/>
        <v/>
      </c>
      <c r="I48" s="1388">
        <f t="shared" si="14"/>
        <v>41</v>
      </c>
      <c r="J48" s="969" t="s">
        <v>694</v>
      </c>
      <c r="K48" s="975">
        <v>11</v>
      </c>
      <c r="L48" s="977"/>
      <c r="M48" s="971">
        <v>65</v>
      </c>
      <c r="N48" s="971">
        <v>78</v>
      </c>
      <c r="O48" s="971">
        <v>116</v>
      </c>
      <c r="P48" s="970">
        <f t="shared" si="15"/>
        <v>259</v>
      </c>
    </row>
    <row r="49" spans="1:16" x14ac:dyDescent="0.2">
      <c r="A49" s="981" t="str">
        <f t="shared" si="10"/>
        <v/>
      </c>
      <c r="B49" s="982" t="str">
        <f t="shared" si="6"/>
        <v/>
      </c>
      <c r="C49" s="978">
        <f t="shared" si="11"/>
        <v>13</v>
      </c>
      <c r="D49" s="149">
        <f t="shared" si="7"/>
        <v>280</v>
      </c>
      <c r="E49" s="994" t="str">
        <f t="shared" si="12"/>
        <v/>
      </c>
      <c r="F49" s="984" t="str">
        <f t="shared" si="8"/>
        <v/>
      </c>
      <c r="G49" s="994" t="str">
        <f t="shared" si="13"/>
        <v/>
      </c>
      <c r="H49" s="985" t="str">
        <f t="shared" si="9"/>
        <v/>
      </c>
      <c r="I49" s="1388">
        <f t="shared" si="14"/>
        <v>42</v>
      </c>
      <c r="J49" s="969" t="s">
        <v>698</v>
      </c>
      <c r="K49" s="975">
        <v>37</v>
      </c>
      <c r="L49" s="977" t="s">
        <v>137</v>
      </c>
      <c r="M49" s="971">
        <v>60</v>
      </c>
      <c r="N49" s="971">
        <v>90</v>
      </c>
      <c r="O49" s="971">
        <v>130</v>
      </c>
      <c r="P49" s="970">
        <f t="shared" si="15"/>
        <v>280</v>
      </c>
    </row>
    <row r="50" spans="1:16" x14ac:dyDescent="0.2">
      <c r="A50" s="981">
        <f t="shared" si="10"/>
        <v>31</v>
      </c>
      <c r="B50" s="982">
        <f t="shared" si="6"/>
        <v>282</v>
      </c>
      <c r="C50" s="978" t="str">
        <f t="shared" si="11"/>
        <v/>
      </c>
      <c r="D50" s="149" t="str">
        <f t="shared" si="7"/>
        <v/>
      </c>
      <c r="E50" s="994" t="str">
        <f t="shared" si="12"/>
        <v/>
      </c>
      <c r="F50" s="984" t="str">
        <f t="shared" si="8"/>
        <v/>
      </c>
      <c r="G50" s="994" t="str">
        <f t="shared" si="13"/>
        <v/>
      </c>
      <c r="H50" s="985" t="str">
        <f t="shared" si="9"/>
        <v/>
      </c>
      <c r="I50" s="1388">
        <f t="shared" si="14"/>
        <v>43</v>
      </c>
      <c r="J50" s="969" t="s">
        <v>709</v>
      </c>
      <c r="K50" s="975">
        <v>42</v>
      </c>
      <c r="L50" s="977"/>
      <c r="M50" s="971">
        <v>26</v>
      </c>
      <c r="N50" s="971">
        <v>47</v>
      </c>
      <c r="O50" s="971">
        <v>209</v>
      </c>
      <c r="P50" s="970">
        <f t="shared" si="15"/>
        <v>282</v>
      </c>
    </row>
    <row r="51" spans="1:16" x14ac:dyDescent="0.2">
      <c r="A51" s="981">
        <f t="shared" si="10"/>
        <v>31</v>
      </c>
      <c r="B51" s="982">
        <f t="shared" si="6"/>
        <v>282</v>
      </c>
      <c r="C51" s="978" t="str">
        <f t="shared" si="11"/>
        <v/>
      </c>
      <c r="D51" s="149" t="str">
        <f t="shared" si="7"/>
        <v/>
      </c>
      <c r="E51" s="994" t="str">
        <f t="shared" si="12"/>
        <v/>
      </c>
      <c r="F51" s="984" t="str">
        <f t="shared" si="8"/>
        <v/>
      </c>
      <c r="G51" s="994" t="str">
        <f t="shared" si="13"/>
        <v/>
      </c>
      <c r="H51" s="985" t="str">
        <f t="shared" si="9"/>
        <v/>
      </c>
      <c r="I51" s="1388">
        <f t="shared" si="14"/>
        <v>43</v>
      </c>
      <c r="J51" s="969" t="s">
        <v>599</v>
      </c>
      <c r="K51" s="975">
        <v>29</v>
      </c>
      <c r="L51" s="977"/>
      <c r="M51" s="971">
        <v>21</v>
      </c>
      <c r="N51" s="971">
        <v>40</v>
      </c>
      <c r="O51" s="971">
        <v>221</v>
      </c>
      <c r="P51" s="970">
        <f t="shared" si="15"/>
        <v>282</v>
      </c>
    </row>
    <row r="52" spans="1:16" x14ac:dyDescent="0.2">
      <c r="A52" s="981">
        <f t="shared" si="10"/>
        <v>32</v>
      </c>
      <c r="B52" s="982">
        <f t="shared" si="6"/>
        <v>294</v>
      </c>
      <c r="C52" s="978" t="str">
        <f t="shared" si="11"/>
        <v/>
      </c>
      <c r="D52" s="149" t="str">
        <f t="shared" si="7"/>
        <v/>
      </c>
      <c r="E52" s="994">
        <f t="shared" si="12"/>
        <v>6</v>
      </c>
      <c r="F52" s="984">
        <f t="shared" si="8"/>
        <v>294</v>
      </c>
      <c r="G52" s="994" t="str">
        <f t="shared" si="13"/>
        <v/>
      </c>
      <c r="H52" s="985" t="str">
        <f t="shared" si="9"/>
        <v/>
      </c>
      <c r="I52" s="1388">
        <f t="shared" si="14"/>
        <v>45</v>
      </c>
      <c r="J52" s="969" t="s">
        <v>710</v>
      </c>
      <c r="K52" s="975">
        <v>13</v>
      </c>
      <c r="L52" s="977"/>
      <c r="M52" s="971">
        <v>86</v>
      </c>
      <c r="N52" s="971">
        <v>94</v>
      </c>
      <c r="O52" s="971">
        <v>114</v>
      </c>
      <c r="P52" s="970">
        <f t="shared" si="15"/>
        <v>294</v>
      </c>
    </row>
    <row r="53" spans="1:16" x14ac:dyDescent="0.2">
      <c r="A53" s="981">
        <f t="shared" si="10"/>
        <v>33</v>
      </c>
      <c r="B53" s="982">
        <f t="shared" si="6"/>
        <v>298</v>
      </c>
      <c r="C53" s="978" t="str">
        <f t="shared" si="11"/>
        <v/>
      </c>
      <c r="D53" s="149" t="str">
        <f t="shared" si="7"/>
        <v/>
      </c>
      <c r="E53" s="994" t="str">
        <f t="shared" si="12"/>
        <v/>
      </c>
      <c r="F53" s="984" t="str">
        <f t="shared" si="8"/>
        <v/>
      </c>
      <c r="G53" s="994" t="str">
        <f t="shared" si="13"/>
        <v/>
      </c>
      <c r="H53" s="985" t="str">
        <f t="shared" si="9"/>
        <v/>
      </c>
      <c r="I53" s="1388">
        <f t="shared" si="14"/>
        <v>46</v>
      </c>
      <c r="J53" s="969" t="s">
        <v>691</v>
      </c>
      <c r="K53" s="975">
        <v>24</v>
      </c>
      <c r="L53" s="977"/>
      <c r="M53" s="971">
        <v>27</v>
      </c>
      <c r="N53" s="971">
        <v>78</v>
      </c>
      <c r="O53" s="971">
        <v>193</v>
      </c>
      <c r="P53" s="970">
        <f t="shared" si="15"/>
        <v>298</v>
      </c>
    </row>
    <row r="54" spans="1:16" x14ac:dyDescent="0.2">
      <c r="A54" s="981" t="str">
        <f t="shared" si="10"/>
        <v/>
      </c>
      <c r="B54" s="982" t="str">
        <f t="shared" si="6"/>
        <v/>
      </c>
      <c r="C54" s="978">
        <f t="shared" si="11"/>
        <v>14</v>
      </c>
      <c r="D54" s="149">
        <f t="shared" si="7"/>
        <v>308</v>
      </c>
      <c r="E54" s="994">
        <f t="shared" si="12"/>
        <v>7</v>
      </c>
      <c r="F54" s="984">
        <f t="shared" si="8"/>
        <v>308</v>
      </c>
      <c r="G54" s="994" t="str">
        <f t="shared" si="13"/>
        <v/>
      </c>
      <c r="H54" s="985" t="str">
        <f t="shared" si="9"/>
        <v/>
      </c>
      <c r="I54" s="1388">
        <f t="shared" si="14"/>
        <v>47</v>
      </c>
      <c r="J54" s="969" t="s">
        <v>264</v>
      </c>
      <c r="K54" s="975">
        <v>11</v>
      </c>
      <c r="L54" s="977" t="s">
        <v>137</v>
      </c>
      <c r="M54" s="971">
        <v>65</v>
      </c>
      <c r="N54" s="971">
        <v>105</v>
      </c>
      <c r="O54" s="971">
        <v>138</v>
      </c>
      <c r="P54" s="970">
        <f t="shared" si="15"/>
        <v>308</v>
      </c>
    </row>
    <row r="55" spans="1:16" x14ac:dyDescent="0.2">
      <c r="A55" s="981" t="str">
        <f t="shared" si="10"/>
        <v/>
      </c>
      <c r="B55" s="982" t="str">
        <f t="shared" si="6"/>
        <v/>
      </c>
      <c r="C55" s="978">
        <f t="shared" si="11"/>
        <v>15</v>
      </c>
      <c r="D55" s="149">
        <f t="shared" si="7"/>
        <v>313</v>
      </c>
      <c r="E55" s="994" t="str">
        <f t="shared" si="12"/>
        <v/>
      </c>
      <c r="F55" s="984" t="str">
        <f t="shared" si="8"/>
        <v/>
      </c>
      <c r="G55" s="994" t="str">
        <f t="shared" si="13"/>
        <v/>
      </c>
      <c r="H55" s="985" t="str">
        <f t="shared" si="9"/>
        <v/>
      </c>
      <c r="I55" s="1388">
        <f t="shared" si="14"/>
        <v>48</v>
      </c>
      <c r="J55" s="969" t="s">
        <v>699</v>
      </c>
      <c r="K55" s="975">
        <v>50</v>
      </c>
      <c r="L55" s="977" t="s">
        <v>137</v>
      </c>
      <c r="M55" s="971">
        <v>19</v>
      </c>
      <c r="N55" s="971">
        <v>74</v>
      </c>
      <c r="O55" s="971">
        <v>220</v>
      </c>
      <c r="P55" s="970">
        <f t="shared" si="15"/>
        <v>313</v>
      </c>
    </row>
    <row r="56" spans="1:16" x14ac:dyDescent="0.2">
      <c r="A56" s="981">
        <f t="shared" si="10"/>
        <v>34</v>
      </c>
      <c r="B56" s="982">
        <f t="shared" si="6"/>
        <v>323</v>
      </c>
      <c r="C56" s="978" t="str">
        <f t="shared" si="11"/>
        <v/>
      </c>
      <c r="D56" s="149" t="str">
        <f t="shared" si="7"/>
        <v/>
      </c>
      <c r="E56" s="994" t="str">
        <f t="shared" si="12"/>
        <v/>
      </c>
      <c r="F56" s="984" t="str">
        <f t="shared" si="8"/>
        <v/>
      </c>
      <c r="G56" s="994">
        <f t="shared" si="13"/>
        <v>6</v>
      </c>
      <c r="H56" s="985">
        <f t="shared" si="9"/>
        <v>323</v>
      </c>
      <c r="I56" s="1388">
        <f t="shared" si="14"/>
        <v>49</v>
      </c>
      <c r="J56" s="969" t="s">
        <v>701</v>
      </c>
      <c r="K56" s="975">
        <v>10</v>
      </c>
      <c r="L56" s="977"/>
      <c r="M56" s="971">
        <v>79</v>
      </c>
      <c r="N56" s="971">
        <v>97</v>
      </c>
      <c r="O56" s="971">
        <v>147</v>
      </c>
      <c r="P56" s="970">
        <f t="shared" si="15"/>
        <v>323</v>
      </c>
    </row>
    <row r="57" spans="1:16" x14ac:dyDescent="0.2">
      <c r="A57" s="981" t="str">
        <f t="shared" si="10"/>
        <v/>
      </c>
      <c r="B57" s="982" t="str">
        <f t="shared" si="6"/>
        <v/>
      </c>
      <c r="C57" s="978">
        <f t="shared" si="11"/>
        <v>16</v>
      </c>
      <c r="D57" s="149">
        <f t="shared" si="7"/>
        <v>342</v>
      </c>
      <c r="E57" s="994" t="str">
        <f t="shared" si="12"/>
        <v/>
      </c>
      <c r="F57" s="984" t="str">
        <f t="shared" si="8"/>
        <v/>
      </c>
      <c r="G57" s="994" t="str">
        <f t="shared" si="13"/>
        <v/>
      </c>
      <c r="H57" s="985" t="str">
        <f t="shared" si="9"/>
        <v/>
      </c>
      <c r="I57" s="1388">
        <f t="shared" si="14"/>
        <v>50</v>
      </c>
      <c r="J57" s="969" t="s">
        <v>689</v>
      </c>
      <c r="K57" s="975">
        <v>61</v>
      </c>
      <c r="L57" s="977" t="s">
        <v>137</v>
      </c>
      <c r="M57" s="971">
        <v>29</v>
      </c>
      <c r="N57" s="971">
        <v>29</v>
      </c>
      <c r="O57" s="971">
        <v>284</v>
      </c>
      <c r="P57" s="970">
        <f t="shared" si="15"/>
        <v>342</v>
      </c>
    </row>
    <row r="58" spans="1:16" x14ac:dyDescent="0.2">
      <c r="A58" s="981">
        <f t="shared" si="10"/>
        <v>35</v>
      </c>
      <c r="B58" s="982">
        <f t="shared" si="6"/>
        <v>356</v>
      </c>
      <c r="C58" s="978" t="str">
        <f t="shared" si="11"/>
        <v/>
      </c>
      <c r="D58" s="149" t="str">
        <f t="shared" si="7"/>
        <v/>
      </c>
      <c r="E58" s="994">
        <f t="shared" si="12"/>
        <v>8</v>
      </c>
      <c r="F58" s="984">
        <f t="shared" si="8"/>
        <v>356</v>
      </c>
      <c r="G58" s="994" t="str">
        <f t="shared" si="13"/>
        <v/>
      </c>
      <c r="H58" s="985" t="str">
        <f t="shared" si="9"/>
        <v/>
      </c>
      <c r="I58" s="1388">
        <f t="shared" si="14"/>
        <v>51</v>
      </c>
      <c r="J58" s="969" t="s">
        <v>697</v>
      </c>
      <c r="K58" s="975">
        <v>13</v>
      </c>
      <c r="L58" s="977"/>
      <c r="M58" s="971">
        <v>90</v>
      </c>
      <c r="N58" s="971">
        <v>111</v>
      </c>
      <c r="O58" s="971">
        <v>155</v>
      </c>
      <c r="P58" s="970">
        <f t="shared" si="15"/>
        <v>356</v>
      </c>
    </row>
    <row r="59" spans="1:16" x14ac:dyDescent="0.2">
      <c r="A59" s="981" t="str">
        <f t="shared" si="10"/>
        <v/>
      </c>
      <c r="B59" s="982" t="str">
        <f t="shared" si="6"/>
        <v/>
      </c>
      <c r="C59" s="978">
        <f t="shared" si="11"/>
        <v>17</v>
      </c>
      <c r="D59" s="149">
        <f t="shared" si="7"/>
        <v>366</v>
      </c>
      <c r="E59" s="994" t="str">
        <f t="shared" si="12"/>
        <v/>
      </c>
      <c r="F59" s="984" t="str">
        <f t="shared" si="8"/>
        <v/>
      </c>
      <c r="G59" s="994" t="str">
        <f t="shared" si="13"/>
        <v/>
      </c>
      <c r="H59" s="985" t="str">
        <f t="shared" si="9"/>
        <v/>
      </c>
      <c r="I59" s="1388">
        <f t="shared" si="14"/>
        <v>52</v>
      </c>
      <c r="J59" s="969" t="s">
        <v>707</v>
      </c>
      <c r="K59" s="975">
        <v>33</v>
      </c>
      <c r="L59" s="977" t="s">
        <v>137</v>
      </c>
      <c r="M59" s="971">
        <v>102</v>
      </c>
      <c r="N59" s="971">
        <v>112</v>
      </c>
      <c r="O59" s="971">
        <v>152</v>
      </c>
      <c r="P59" s="970">
        <f t="shared" si="15"/>
        <v>366</v>
      </c>
    </row>
    <row r="60" spans="1:16" x14ac:dyDescent="0.2">
      <c r="A60" s="981" t="str">
        <f t="shared" si="10"/>
        <v/>
      </c>
      <c r="B60" s="982" t="str">
        <f t="shared" si="6"/>
        <v/>
      </c>
      <c r="C60" s="978">
        <f t="shared" si="11"/>
        <v>18</v>
      </c>
      <c r="D60" s="149">
        <f t="shared" si="7"/>
        <v>367</v>
      </c>
      <c r="E60" s="994" t="str">
        <f t="shared" si="12"/>
        <v/>
      </c>
      <c r="F60" s="984" t="str">
        <f t="shared" si="8"/>
        <v/>
      </c>
      <c r="G60" s="994">
        <f t="shared" si="13"/>
        <v>7</v>
      </c>
      <c r="H60" s="985">
        <f t="shared" si="9"/>
        <v>367</v>
      </c>
      <c r="I60" s="1388">
        <f t="shared" si="14"/>
        <v>53</v>
      </c>
      <c r="J60" s="969" t="s">
        <v>711</v>
      </c>
      <c r="K60" s="975">
        <v>4</v>
      </c>
      <c r="L60" s="977" t="s">
        <v>137</v>
      </c>
      <c r="M60" s="971">
        <v>44</v>
      </c>
      <c r="N60" s="971">
        <v>108</v>
      </c>
      <c r="O60" s="971">
        <v>215</v>
      </c>
      <c r="P60" s="970">
        <f t="shared" si="15"/>
        <v>367</v>
      </c>
    </row>
    <row r="61" spans="1:16" x14ac:dyDescent="0.2">
      <c r="A61" s="981">
        <f t="shared" si="10"/>
        <v>36</v>
      </c>
      <c r="B61" s="982">
        <f t="shared" si="6"/>
        <v>479</v>
      </c>
      <c r="C61" s="978" t="str">
        <f t="shared" si="11"/>
        <v/>
      </c>
      <c r="D61" s="149" t="str">
        <f t="shared" si="7"/>
        <v/>
      </c>
      <c r="E61" s="994" t="str">
        <f t="shared" si="12"/>
        <v/>
      </c>
      <c r="F61" s="984" t="str">
        <f t="shared" si="8"/>
        <v/>
      </c>
      <c r="G61" s="994">
        <f t="shared" si="13"/>
        <v>8</v>
      </c>
      <c r="H61" s="985">
        <f t="shared" si="9"/>
        <v>479</v>
      </c>
      <c r="I61" s="1388">
        <f t="shared" si="14"/>
        <v>54</v>
      </c>
      <c r="J61" s="969" t="s">
        <v>702</v>
      </c>
      <c r="K61" s="975">
        <v>6</v>
      </c>
      <c r="L61" s="977"/>
      <c r="M61" s="971">
        <v>106</v>
      </c>
      <c r="N61" s="971">
        <v>180</v>
      </c>
      <c r="O61" s="971">
        <v>193</v>
      </c>
      <c r="P61" s="970">
        <f t="shared" si="15"/>
        <v>479</v>
      </c>
    </row>
    <row r="62" spans="1:16" x14ac:dyDescent="0.2">
      <c r="A62" s="981" t="str">
        <f t="shared" si="10"/>
        <v/>
      </c>
      <c r="B62" s="982" t="str">
        <f t="shared" si="6"/>
        <v/>
      </c>
      <c r="C62" s="978">
        <f t="shared" si="11"/>
        <v>19</v>
      </c>
      <c r="D62" s="149">
        <f t="shared" si="7"/>
        <v>484</v>
      </c>
      <c r="E62" s="994" t="str">
        <f t="shared" si="12"/>
        <v/>
      </c>
      <c r="F62" s="984" t="str">
        <f t="shared" si="8"/>
        <v/>
      </c>
      <c r="G62" s="994" t="str">
        <f t="shared" si="13"/>
        <v/>
      </c>
      <c r="H62" s="985" t="str">
        <f t="shared" si="9"/>
        <v/>
      </c>
      <c r="I62" s="1388">
        <f t="shared" si="14"/>
        <v>55</v>
      </c>
      <c r="J62" s="969" t="s">
        <v>692</v>
      </c>
      <c r="K62" s="975">
        <v>27</v>
      </c>
      <c r="L62" s="977" t="s">
        <v>137</v>
      </c>
      <c r="M62" s="971">
        <v>82</v>
      </c>
      <c r="N62" s="971">
        <v>156</v>
      </c>
      <c r="O62" s="971">
        <v>246</v>
      </c>
      <c r="P62" s="970">
        <f t="shared" si="15"/>
        <v>484</v>
      </c>
    </row>
    <row r="63" spans="1:16" x14ac:dyDescent="0.2">
      <c r="A63" s="981">
        <f t="shared" si="10"/>
        <v>37</v>
      </c>
      <c r="B63" s="982">
        <f t="shared" si="6"/>
        <v>499</v>
      </c>
      <c r="C63" s="978" t="str">
        <f t="shared" si="11"/>
        <v/>
      </c>
      <c r="D63" s="149" t="str">
        <f t="shared" si="7"/>
        <v/>
      </c>
      <c r="E63" s="994" t="str">
        <f t="shared" si="12"/>
        <v/>
      </c>
      <c r="F63" s="984" t="str">
        <f t="shared" si="8"/>
        <v/>
      </c>
      <c r="G63" s="994" t="str">
        <f t="shared" si="13"/>
        <v/>
      </c>
      <c r="H63" s="985" t="str">
        <f t="shared" si="9"/>
        <v/>
      </c>
      <c r="I63" s="1388">
        <f t="shared" si="14"/>
        <v>56</v>
      </c>
      <c r="J63" s="969" t="s">
        <v>693</v>
      </c>
      <c r="K63" s="975">
        <v>40</v>
      </c>
      <c r="L63" s="977"/>
      <c r="M63" s="971">
        <v>88</v>
      </c>
      <c r="N63" s="971">
        <v>213</v>
      </c>
      <c r="O63" s="971">
        <v>198</v>
      </c>
      <c r="P63" s="970">
        <f t="shared" si="15"/>
        <v>499</v>
      </c>
    </row>
    <row r="64" spans="1:16" x14ac:dyDescent="0.2">
      <c r="A64" s="989">
        <f>COUNT(A6:A63)</f>
        <v>37</v>
      </c>
      <c r="B64" s="989">
        <f t="shared" ref="B64:G64" si="16">COUNT(B6:B63)</f>
        <v>37</v>
      </c>
      <c r="C64" s="990">
        <f t="shared" si="16"/>
        <v>19</v>
      </c>
      <c r="D64" s="989">
        <f t="shared" si="16"/>
        <v>19</v>
      </c>
      <c r="E64" s="991">
        <f t="shared" si="16"/>
        <v>8</v>
      </c>
      <c r="F64" s="989">
        <f t="shared" si="16"/>
        <v>8</v>
      </c>
      <c r="G64" s="1345">
        <f t="shared" si="16"/>
        <v>8</v>
      </c>
      <c r="H64" s="992">
        <f t="shared" ref="H64" si="17">COUNT(H6:H63)</f>
        <v>8</v>
      </c>
      <c r="I64" s="973">
        <f t="shared" ref="I64" si="18">COUNT(I6:I63)</f>
        <v>56</v>
      </c>
      <c r="J64" s="972"/>
      <c r="K64" s="384"/>
      <c r="L64" s="384"/>
      <c r="M64" s="384"/>
      <c r="N64" s="384"/>
      <c r="O64" s="384"/>
      <c r="P64" s="973"/>
    </row>
  </sheetData>
  <sortState ref="I8:P63">
    <sortCondition ref="P8"/>
  </sortState>
  <conditionalFormatting sqref="J8:J63">
    <cfRule type="expression" dxfId="20" priority="8">
      <formula>AND(K8&gt;10,K8&lt;=16)</formula>
    </cfRule>
    <cfRule type="expression" dxfId="19" priority="9">
      <formula>K8&lt;=10</formula>
    </cfRule>
    <cfRule type="expression" dxfId="18" priority="10">
      <formula>L8="n"</formula>
    </cfRule>
  </conditionalFormatting>
  <conditionalFormatting sqref="G8:G63">
    <cfRule type="expression" dxfId="17" priority="7">
      <formula>K8&lt;=10</formula>
    </cfRule>
  </conditionalFormatting>
  <conditionalFormatting sqref="E8:E63">
    <cfRule type="expression" dxfId="16" priority="6">
      <formula>AND(K8&gt;10,K8&lt;=16)</formula>
    </cfRule>
  </conditionalFormatting>
  <conditionalFormatting sqref="K8:K63">
    <cfRule type="top10" dxfId="15" priority="4" bottom="1" rank="1"/>
    <cfRule type="top10" dxfId="14" priority="5" rank="1"/>
  </conditionalFormatting>
  <conditionalFormatting sqref="M8:M63">
    <cfRule type="top10" dxfId="13" priority="3" bottom="1" rank="1"/>
  </conditionalFormatting>
  <conditionalFormatting sqref="N8:N63">
    <cfRule type="top10" dxfId="12" priority="2" bottom="1" rank="1"/>
  </conditionalFormatting>
  <conditionalFormatting sqref="O8:O63">
    <cfRule type="top10" dxfId="11" priority="1" bottom="1" rank="1"/>
  </conditionalFormatting>
  <pageMargins left="0.39370078740157483" right="0.31496062992125984" top="0.31496062992125984" bottom="0.31496062992125984" header="0.31496062992125984" footer="0"/>
  <pageSetup paperSize="9" fitToHeight="0" orientation="portrait" r:id="rId1"/>
  <headerFooter>
    <oddHeader>&amp;R&amp;"Arial,Regular"&amp;9Page &amp;P of &amp;N</oddHead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39"/>
  <sheetViews>
    <sheetView showGridLines="0" showRowColHeaders="0" workbookViewId="0">
      <selection activeCell="B1" sqref="B1"/>
    </sheetView>
  </sheetViews>
  <sheetFormatPr defaultRowHeight="12.75" x14ac:dyDescent="0.2"/>
  <cols>
    <col min="1" max="1" width="83" customWidth="1"/>
  </cols>
  <sheetData>
    <row r="1" spans="1:1" x14ac:dyDescent="0.2">
      <c r="A1" s="621" t="s">
        <v>458</v>
      </c>
    </row>
    <row r="2" spans="1:1" x14ac:dyDescent="0.2">
      <c r="A2" s="622" t="s">
        <v>459</v>
      </c>
    </row>
    <row r="3" spans="1:1" x14ac:dyDescent="0.2">
      <c r="A3" s="622"/>
    </row>
    <row r="4" spans="1:1" x14ac:dyDescent="0.2">
      <c r="A4" s="622" t="s">
        <v>460</v>
      </c>
    </row>
    <row r="5" spans="1:1" x14ac:dyDescent="0.2">
      <c r="A5" s="622" t="s">
        <v>470</v>
      </c>
    </row>
    <row r="6" spans="1:1" x14ac:dyDescent="0.2">
      <c r="A6" s="622" t="s">
        <v>471</v>
      </c>
    </row>
    <row r="7" spans="1:1" x14ac:dyDescent="0.2">
      <c r="A7" s="622" t="s">
        <v>472</v>
      </c>
    </row>
    <row r="8" spans="1:1" x14ac:dyDescent="0.2">
      <c r="A8" s="622"/>
    </row>
    <row r="9" spans="1:1" x14ac:dyDescent="0.2">
      <c r="A9" s="622" t="s">
        <v>461</v>
      </c>
    </row>
    <row r="10" spans="1:1" x14ac:dyDescent="0.2">
      <c r="A10" s="622" t="s">
        <v>450</v>
      </c>
    </row>
    <row r="11" spans="1:1" x14ac:dyDescent="0.2">
      <c r="A11" s="622"/>
    </row>
    <row r="12" spans="1:1" x14ac:dyDescent="0.2">
      <c r="A12" s="622" t="s">
        <v>462</v>
      </c>
    </row>
    <row r="13" spans="1:1" x14ac:dyDescent="0.2">
      <c r="A13" s="622" t="s">
        <v>473</v>
      </c>
    </row>
    <row r="14" spans="1:1" x14ac:dyDescent="0.2">
      <c r="A14" s="622" t="s">
        <v>474</v>
      </c>
    </row>
    <row r="15" spans="1:1" x14ac:dyDescent="0.2">
      <c r="A15" s="622"/>
    </row>
    <row r="16" spans="1:1" x14ac:dyDescent="0.2">
      <c r="A16" s="622" t="s">
        <v>463</v>
      </c>
    </row>
    <row r="17" spans="1:1" ht="25.5" x14ac:dyDescent="0.2">
      <c r="A17" s="622" t="s">
        <v>451</v>
      </c>
    </row>
    <row r="18" spans="1:1" x14ac:dyDescent="0.2">
      <c r="A18" s="622" t="s">
        <v>475</v>
      </c>
    </row>
    <row r="19" spans="1:1" x14ac:dyDescent="0.2">
      <c r="A19" s="622" t="s">
        <v>469</v>
      </c>
    </row>
    <row r="20" spans="1:1" x14ac:dyDescent="0.2">
      <c r="A20" s="622"/>
    </row>
    <row r="21" spans="1:1" x14ac:dyDescent="0.2">
      <c r="A21" s="622" t="s">
        <v>464</v>
      </c>
    </row>
    <row r="22" spans="1:1" ht="63.75" x14ac:dyDescent="0.2">
      <c r="A22" s="622" t="s">
        <v>452</v>
      </c>
    </row>
    <row r="23" spans="1:1" x14ac:dyDescent="0.2">
      <c r="A23" s="622"/>
    </row>
    <row r="24" spans="1:1" x14ac:dyDescent="0.2">
      <c r="A24" s="622" t="s">
        <v>465</v>
      </c>
    </row>
    <row r="25" spans="1:1" ht="63.75" x14ac:dyDescent="0.2">
      <c r="A25" s="622" t="s">
        <v>670</v>
      </c>
    </row>
    <row r="26" spans="1:1" x14ac:dyDescent="0.2">
      <c r="A26" s="622"/>
    </row>
    <row r="27" spans="1:1" x14ac:dyDescent="0.2">
      <c r="A27" s="622" t="s">
        <v>466</v>
      </c>
    </row>
    <row r="28" spans="1:1" ht="38.25" x14ac:dyDescent="0.2">
      <c r="A28" s="622" t="s">
        <v>453</v>
      </c>
    </row>
    <row r="29" spans="1:1" x14ac:dyDescent="0.2">
      <c r="A29" s="622"/>
    </row>
    <row r="30" spans="1:1" x14ac:dyDescent="0.2">
      <c r="A30" s="622" t="s">
        <v>467</v>
      </c>
    </row>
    <row r="31" spans="1:1" ht="25.5" x14ac:dyDescent="0.2">
      <c r="A31" s="622" t="s">
        <v>454</v>
      </c>
    </row>
    <row r="32" spans="1:1" x14ac:dyDescent="0.2">
      <c r="A32" s="622"/>
    </row>
    <row r="33" spans="1:1" x14ac:dyDescent="0.2">
      <c r="A33" s="622" t="s">
        <v>468</v>
      </c>
    </row>
    <row r="34" spans="1:1" ht="25.5" x14ac:dyDescent="0.2">
      <c r="A34" s="622" t="s">
        <v>455</v>
      </c>
    </row>
    <row r="35" spans="1:1" x14ac:dyDescent="0.2">
      <c r="A35" s="622"/>
    </row>
    <row r="36" spans="1:1" x14ac:dyDescent="0.2">
      <c r="A36" s="622" t="s">
        <v>456</v>
      </c>
    </row>
    <row r="37" spans="1:1" x14ac:dyDescent="0.2">
      <c r="A37" s="622" t="s">
        <v>457</v>
      </c>
    </row>
    <row r="38" spans="1:1" x14ac:dyDescent="0.2">
      <c r="A38" s="622"/>
    </row>
    <row r="39" spans="1:1" x14ac:dyDescent="0.2">
      <c r="A39" s="622" t="s">
        <v>476</v>
      </c>
    </row>
  </sheetData>
  <pageMargins left="0.78740157480314965" right="0.39370078740157483" top="0.78740157480314965" bottom="0.39370078740157483" header="0.39370078740157483" footer="0"/>
  <pageSetup paperSize="9" fitToHeight="0"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6"/>
  <sheetViews>
    <sheetView showGridLines="0" workbookViewId="0">
      <selection activeCell="B1" sqref="B1"/>
    </sheetView>
  </sheetViews>
  <sheetFormatPr defaultRowHeight="12.75" x14ac:dyDescent="0.2"/>
  <cols>
    <col min="1" max="1" width="83" style="668" customWidth="1"/>
    <col min="2" max="16384" width="9.140625" style="668"/>
  </cols>
  <sheetData>
    <row r="1" spans="1:1" x14ac:dyDescent="0.2">
      <c r="A1" s="1376" t="s">
        <v>751</v>
      </c>
    </row>
    <row r="2" spans="1:1" x14ac:dyDescent="0.2">
      <c r="A2" s="622" t="s">
        <v>459</v>
      </c>
    </row>
    <row r="3" spans="1:1" x14ac:dyDescent="0.2">
      <c r="A3" s="622"/>
    </row>
    <row r="4" spans="1:1" x14ac:dyDescent="0.2">
      <c r="A4" s="622" t="s">
        <v>460</v>
      </c>
    </row>
    <row r="5" spans="1:1" x14ac:dyDescent="0.2">
      <c r="A5" s="622" t="s">
        <v>746</v>
      </c>
    </row>
    <row r="6" spans="1:1" x14ac:dyDescent="0.2">
      <c r="A6" s="622" t="s">
        <v>471</v>
      </c>
    </row>
    <row r="7" spans="1:1" x14ac:dyDescent="0.2">
      <c r="A7" s="622" t="s">
        <v>747</v>
      </c>
    </row>
    <row r="8" spans="1:1" x14ac:dyDescent="0.2">
      <c r="A8" s="622"/>
    </row>
    <row r="9" spans="1:1" x14ac:dyDescent="0.2">
      <c r="A9" s="622" t="s">
        <v>461</v>
      </c>
    </row>
    <row r="10" spans="1:1" x14ac:dyDescent="0.2">
      <c r="A10" s="622" t="s">
        <v>738</v>
      </c>
    </row>
    <row r="11" spans="1:1" x14ac:dyDescent="0.2">
      <c r="A11" s="622"/>
    </row>
    <row r="12" spans="1:1" x14ac:dyDescent="0.2">
      <c r="A12" s="622" t="s">
        <v>462</v>
      </c>
    </row>
    <row r="13" spans="1:1" x14ac:dyDescent="0.2">
      <c r="A13" s="622" t="s">
        <v>748</v>
      </c>
    </row>
    <row r="14" spans="1:1" x14ac:dyDescent="0.2">
      <c r="A14" s="622" t="s">
        <v>474</v>
      </c>
    </row>
    <row r="15" spans="1:1" x14ac:dyDescent="0.2">
      <c r="A15" s="622"/>
    </row>
    <row r="16" spans="1:1" x14ac:dyDescent="0.2">
      <c r="A16" s="622" t="s">
        <v>463</v>
      </c>
    </row>
    <row r="17" spans="1:1" x14ac:dyDescent="0.2">
      <c r="A17" s="622" t="s">
        <v>739</v>
      </c>
    </row>
    <row r="18" spans="1:1" x14ac:dyDescent="0.2">
      <c r="A18" s="622" t="s">
        <v>740</v>
      </c>
    </row>
    <row r="19" spans="1:1" x14ac:dyDescent="0.2">
      <c r="A19" s="622"/>
    </row>
    <row r="20" spans="1:1" x14ac:dyDescent="0.2">
      <c r="A20" s="622" t="s">
        <v>464</v>
      </c>
    </row>
    <row r="21" spans="1:1" x14ac:dyDescent="0.2">
      <c r="A21" s="622" t="s">
        <v>741</v>
      </c>
    </row>
    <row r="22" spans="1:1" x14ac:dyDescent="0.2">
      <c r="A22" s="622" t="s">
        <v>742</v>
      </c>
    </row>
    <row r="23" spans="1:1" x14ac:dyDescent="0.2">
      <c r="A23" s="622"/>
    </row>
    <row r="24" spans="1:1" x14ac:dyDescent="0.2">
      <c r="A24" s="622" t="s">
        <v>752</v>
      </c>
    </row>
    <row r="25" spans="1:1" ht="25.5" x14ac:dyDescent="0.2">
      <c r="A25" s="622" t="s">
        <v>743</v>
      </c>
    </row>
    <row r="26" spans="1:1" x14ac:dyDescent="0.2">
      <c r="A26" s="622"/>
    </row>
    <row r="27" spans="1:1" x14ac:dyDescent="0.2">
      <c r="A27" s="622" t="s">
        <v>753</v>
      </c>
    </row>
    <row r="28" spans="1:1" x14ac:dyDescent="0.2">
      <c r="A28" s="622" t="s">
        <v>744</v>
      </c>
    </row>
    <row r="29" spans="1:1" x14ac:dyDescent="0.2">
      <c r="A29" s="622"/>
    </row>
    <row r="30" spans="1:1" x14ac:dyDescent="0.2">
      <c r="A30" s="622" t="s">
        <v>754</v>
      </c>
    </row>
    <row r="31" spans="1:1" x14ac:dyDescent="0.2">
      <c r="A31" s="622" t="s">
        <v>745</v>
      </c>
    </row>
    <row r="32" spans="1:1" x14ac:dyDescent="0.2">
      <c r="A32" s="622" t="s">
        <v>749</v>
      </c>
    </row>
    <row r="33" spans="1:1" x14ac:dyDescent="0.2">
      <c r="A33" s="622" t="s">
        <v>750</v>
      </c>
    </row>
    <row r="34" spans="1:1" x14ac:dyDescent="0.2">
      <c r="A34" s="622"/>
    </row>
    <row r="35" spans="1:1" x14ac:dyDescent="0.2">
      <c r="A35" s="622" t="s">
        <v>755</v>
      </c>
    </row>
    <row r="36" spans="1:1" x14ac:dyDescent="0.2">
      <c r="A36" s="622" t="s">
        <v>457</v>
      </c>
    </row>
  </sheetData>
  <pageMargins left="0.78740157480314965" right="0.39370078740157483" top="0.78740157480314965" bottom="0.39370078740157483" header="0.39370078740157483" footer="0"/>
  <pageSetup paperSize="9" fitToHeight="0"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36"/>
  <sheetViews>
    <sheetView workbookViewId="0">
      <selection activeCell="H1" sqref="H1"/>
    </sheetView>
  </sheetViews>
  <sheetFormatPr defaultRowHeight="12.75" x14ac:dyDescent="0.2"/>
  <cols>
    <col min="1" max="2" width="9.140625" customWidth="1"/>
  </cols>
  <sheetData>
    <row r="1" spans="1:2" x14ac:dyDescent="0.2">
      <c r="A1" s="155">
        <v>0</v>
      </c>
      <c r="B1" s="155">
        <v>0</v>
      </c>
    </row>
    <row r="2" spans="1:2" x14ac:dyDescent="0.2">
      <c r="A2" s="155">
        <v>1</v>
      </c>
      <c r="B2" s="155" t="s">
        <v>140</v>
      </c>
    </row>
    <row r="3" spans="1:2" x14ac:dyDescent="0.2">
      <c r="A3" s="155">
        <v>2</v>
      </c>
      <c r="B3" s="155" t="s">
        <v>141</v>
      </c>
    </row>
    <row r="4" spans="1:2" x14ac:dyDescent="0.2">
      <c r="A4" s="155">
        <v>3</v>
      </c>
      <c r="B4" s="155" t="s">
        <v>142</v>
      </c>
    </row>
    <row r="5" spans="1:2" x14ac:dyDescent="0.2">
      <c r="A5" s="155">
        <v>4</v>
      </c>
      <c r="B5" s="155" t="s">
        <v>143</v>
      </c>
    </row>
    <row r="6" spans="1:2" x14ac:dyDescent="0.2">
      <c r="A6" s="155">
        <v>5</v>
      </c>
      <c r="B6" s="155" t="s">
        <v>144</v>
      </c>
    </row>
    <row r="7" spans="1:2" x14ac:dyDescent="0.2">
      <c r="A7" s="155">
        <v>6</v>
      </c>
      <c r="B7" s="155" t="s">
        <v>145</v>
      </c>
    </row>
    <row r="8" spans="1:2" x14ac:dyDescent="0.2">
      <c r="A8" s="155">
        <v>7</v>
      </c>
      <c r="B8" s="155" t="s">
        <v>146</v>
      </c>
    </row>
    <row r="9" spans="1:2" x14ac:dyDescent="0.2">
      <c r="A9" s="155">
        <v>8</v>
      </c>
      <c r="B9" s="155" t="s">
        <v>142</v>
      </c>
    </row>
    <row r="10" spans="1:2" x14ac:dyDescent="0.2">
      <c r="A10" s="155">
        <v>9</v>
      </c>
      <c r="B10" s="155" t="s">
        <v>143</v>
      </c>
    </row>
    <row r="11" spans="1:2" x14ac:dyDescent="0.2">
      <c r="A11" s="155">
        <v>10</v>
      </c>
      <c r="B11" s="155" t="s">
        <v>144</v>
      </c>
    </row>
    <row r="12" spans="1:2" x14ac:dyDescent="0.2">
      <c r="A12" s="155">
        <v>11</v>
      </c>
      <c r="B12" s="155" t="s">
        <v>145</v>
      </c>
    </row>
    <row r="13" spans="1:2" x14ac:dyDescent="0.2">
      <c r="A13" s="155">
        <v>12</v>
      </c>
      <c r="B13" s="155" t="s">
        <v>146</v>
      </c>
    </row>
    <row r="14" spans="1:2" x14ac:dyDescent="0.2">
      <c r="A14" s="155">
        <v>13</v>
      </c>
      <c r="B14" s="155" t="s">
        <v>147</v>
      </c>
    </row>
    <row r="15" spans="1:2" x14ac:dyDescent="0.2">
      <c r="A15" s="155">
        <v>14</v>
      </c>
      <c r="B15" s="155" t="s">
        <v>148</v>
      </c>
    </row>
    <row r="16" spans="1:2" x14ac:dyDescent="0.2">
      <c r="A16" s="155">
        <v>15</v>
      </c>
      <c r="B16" s="155" t="s">
        <v>84</v>
      </c>
    </row>
    <row r="17" spans="1:2" x14ac:dyDescent="0.2">
      <c r="A17" s="155">
        <v>16</v>
      </c>
      <c r="B17" s="155" t="s">
        <v>13</v>
      </c>
    </row>
    <row r="18" spans="1:2" x14ac:dyDescent="0.2">
      <c r="A18" s="155">
        <v>17</v>
      </c>
      <c r="B18" s="155" t="s">
        <v>149</v>
      </c>
    </row>
    <row r="19" spans="1:2" x14ac:dyDescent="0.2">
      <c r="A19" s="155">
        <v>18</v>
      </c>
      <c r="B19" s="155" t="s">
        <v>150</v>
      </c>
    </row>
    <row r="20" spans="1:2" x14ac:dyDescent="0.2">
      <c r="A20" s="155">
        <v>19</v>
      </c>
      <c r="B20" s="155" t="s">
        <v>83</v>
      </c>
    </row>
    <row r="21" spans="1:2" x14ac:dyDescent="0.2">
      <c r="A21" s="155">
        <v>20</v>
      </c>
      <c r="B21" s="155" t="s">
        <v>151</v>
      </c>
    </row>
    <row r="22" spans="1:2" x14ac:dyDescent="0.2">
      <c r="A22" s="155">
        <v>21</v>
      </c>
      <c r="B22" s="155" t="s">
        <v>152</v>
      </c>
    </row>
    <row r="23" spans="1:2" x14ac:dyDescent="0.2">
      <c r="A23" s="155">
        <v>22</v>
      </c>
      <c r="B23" s="155" t="s">
        <v>153</v>
      </c>
    </row>
    <row r="24" spans="1:2" x14ac:dyDescent="0.2">
      <c r="A24" s="155">
        <v>23</v>
      </c>
      <c r="B24" s="155" t="s">
        <v>154</v>
      </c>
    </row>
    <row r="25" spans="1:2" x14ac:dyDescent="0.2">
      <c r="A25" s="155">
        <v>24</v>
      </c>
      <c r="B25" s="155" t="s">
        <v>54</v>
      </c>
    </row>
    <row r="26" spans="1:2" x14ac:dyDescent="0.2">
      <c r="A26" s="155">
        <v>25</v>
      </c>
      <c r="B26" s="155" t="s">
        <v>155</v>
      </c>
    </row>
    <row r="27" spans="1:2" x14ac:dyDescent="0.2">
      <c r="A27" s="155">
        <v>26</v>
      </c>
      <c r="B27" s="155" t="s">
        <v>139</v>
      </c>
    </row>
    <row r="28" spans="1:2" x14ac:dyDescent="0.2">
      <c r="A28" s="155">
        <v>27</v>
      </c>
      <c r="B28" s="155" t="s">
        <v>156</v>
      </c>
    </row>
    <row r="29" spans="1:2" x14ac:dyDescent="0.2">
      <c r="A29" s="155">
        <v>28</v>
      </c>
      <c r="B29" s="155" t="s">
        <v>157</v>
      </c>
    </row>
    <row r="30" spans="1:2" x14ac:dyDescent="0.2">
      <c r="A30" s="155">
        <v>29</v>
      </c>
      <c r="B30" s="155" t="s">
        <v>158</v>
      </c>
    </row>
    <row r="31" spans="1:2" x14ac:dyDescent="0.2">
      <c r="A31" s="155">
        <v>30</v>
      </c>
      <c r="B31" s="155" t="s">
        <v>159</v>
      </c>
    </row>
    <row r="32" spans="1:2" x14ac:dyDescent="0.2">
      <c r="A32" s="155">
        <v>31</v>
      </c>
      <c r="B32" s="155" t="s">
        <v>160</v>
      </c>
    </row>
    <row r="33" spans="1:2" x14ac:dyDescent="0.2">
      <c r="B33" s="156" t="s">
        <v>161</v>
      </c>
    </row>
    <row r="34" spans="1:2" x14ac:dyDescent="0.2">
      <c r="A34" t="s">
        <v>162</v>
      </c>
      <c r="B34" s="156"/>
    </row>
    <row r="35" spans="1:2" x14ac:dyDescent="0.2">
      <c r="B35" s="156"/>
    </row>
    <row r="36" spans="1:2" x14ac:dyDescent="0.2">
      <c r="A36" t="s">
        <v>163</v>
      </c>
      <c r="B36" s="156"/>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19"/>
  <sheetViews>
    <sheetView workbookViewId="0">
      <selection activeCell="H1" sqref="H1"/>
    </sheetView>
  </sheetViews>
  <sheetFormatPr defaultRowHeight="12.75" x14ac:dyDescent="0.2"/>
  <sheetData>
    <row r="1" spans="1:9" x14ac:dyDescent="0.2">
      <c r="A1" s="224">
        <v>40</v>
      </c>
      <c r="E1" t="s">
        <v>212</v>
      </c>
    </row>
    <row r="2" spans="1:9" x14ac:dyDescent="0.2">
      <c r="A2" s="224">
        <v>34</v>
      </c>
    </row>
    <row r="3" spans="1:9" x14ac:dyDescent="0.2">
      <c r="A3" s="224">
        <v>30</v>
      </c>
      <c r="E3" s="157" t="s">
        <v>164</v>
      </c>
      <c r="F3" s="157"/>
      <c r="G3" s="157"/>
      <c r="H3" s="157"/>
      <c r="I3" s="157"/>
    </row>
    <row r="4" spans="1:9" x14ac:dyDescent="0.2">
      <c r="A4" s="224">
        <v>26</v>
      </c>
    </row>
    <row r="5" spans="1:9" x14ac:dyDescent="0.2">
      <c r="A5" s="224">
        <v>24</v>
      </c>
    </row>
    <row r="6" spans="1:9" x14ac:dyDescent="0.2">
      <c r="A6" s="224">
        <v>22</v>
      </c>
    </row>
    <row r="7" spans="1:9" x14ac:dyDescent="0.2">
      <c r="A7" s="224">
        <v>20</v>
      </c>
    </row>
    <row r="8" spans="1:9" x14ac:dyDescent="0.2">
      <c r="A8" s="224">
        <v>18</v>
      </c>
    </row>
    <row r="9" spans="1:9" x14ac:dyDescent="0.2">
      <c r="A9" s="224">
        <v>16</v>
      </c>
    </row>
    <row r="10" spans="1:9" x14ac:dyDescent="0.2">
      <c r="A10" s="224">
        <v>14</v>
      </c>
    </row>
    <row r="11" spans="1:9" x14ac:dyDescent="0.2">
      <c r="A11" s="224">
        <v>12</v>
      </c>
    </row>
    <row r="12" spans="1:9" x14ac:dyDescent="0.2">
      <c r="A12" s="224">
        <v>10</v>
      </c>
    </row>
    <row r="13" spans="1:9" x14ac:dyDescent="0.2">
      <c r="A13" s="224">
        <v>8</v>
      </c>
    </row>
    <row r="14" spans="1:9" x14ac:dyDescent="0.2">
      <c r="A14" s="224">
        <v>6</v>
      </c>
    </row>
    <row r="15" spans="1:9" x14ac:dyDescent="0.2">
      <c r="A15" s="224">
        <v>4</v>
      </c>
    </row>
    <row r="16" spans="1:9" x14ac:dyDescent="0.2">
      <c r="A16" s="224">
        <v>2</v>
      </c>
    </row>
    <row r="17" spans="1:2" x14ac:dyDescent="0.2">
      <c r="A17" s="224">
        <v>1</v>
      </c>
    </row>
    <row r="18" spans="1:2" x14ac:dyDescent="0.2">
      <c r="A18" s="158">
        <v>0</v>
      </c>
      <c r="B18" t="s">
        <v>165</v>
      </c>
    </row>
    <row r="19" spans="1:2" x14ac:dyDescent="0.2">
      <c r="A19" s="225" t="s">
        <v>92</v>
      </c>
      <c r="B19" t="s">
        <v>166</v>
      </c>
    </row>
  </sheetData>
  <conditionalFormatting sqref="A18">
    <cfRule type="duplicateValues" dxfId="10" priority="1"/>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25"/>
  <sheetViews>
    <sheetView workbookViewId="0">
      <selection activeCell="H1" sqref="H1"/>
    </sheetView>
  </sheetViews>
  <sheetFormatPr defaultRowHeight="12.75" x14ac:dyDescent="0.2"/>
  <sheetData>
    <row r="1" spans="1:9" x14ac:dyDescent="0.2">
      <c r="A1" s="224">
        <v>20</v>
      </c>
      <c r="E1" t="s">
        <v>213</v>
      </c>
    </row>
    <row r="2" spans="1:9" x14ac:dyDescent="0.2">
      <c r="A2" s="224">
        <v>19</v>
      </c>
    </row>
    <row r="3" spans="1:9" x14ac:dyDescent="0.2">
      <c r="A3" s="224">
        <v>18</v>
      </c>
      <c r="E3" s="157" t="s">
        <v>164</v>
      </c>
      <c r="F3" s="157"/>
      <c r="G3" s="157"/>
      <c r="H3" s="157"/>
      <c r="I3" s="157"/>
    </row>
    <row r="4" spans="1:9" x14ac:dyDescent="0.2">
      <c r="A4" s="224">
        <v>17</v>
      </c>
    </row>
    <row r="5" spans="1:9" x14ac:dyDescent="0.2">
      <c r="A5" s="224">
        <v>16</v>
      </c>
    </row>
    <row r="6" spans="1:9" x14ac:dyDescent="0.2">
      <c r="A6" s="224">
        <v>15</v>
      </c>
      <c r="E6" t="s">
        <v>214</v>
      </c>
    </row>
    <row r="7" spans="1:9" x14ac:dyDescent="0.2">
      <c r="A7" s="224">
        <v>14</v>
      </c>
    </row>
    <row r="8" spans="1:9" x14ac:dyDescent="0.2">
      <c r="A8" s="224">
        <v>13</v>
      </c>
    </row>
    <row r="9" spans="1:9" x14ac:dyDescent="0.2">
      <c r="A9" s="224">
        <v>12</v>
      </c>
    </row>
    <row r="10" spans="1:9" x14ac:dyDescent="0.2">
      <c r="A10" s="224">
        <v>11</v>
      </c>
    </row>
    <row r="11" spans="1:9" x14ac:dyDescent="0.2">
      <c r="A11" s="224">
        <v>10</v>
      </c>
    </row>
    <row r="12" spans="1:9" x14ac:dyDescent="0.2">
      <c r="A12" s="224">
        <v>9</v>
      </c>
    </row>
    <row r="13" spans="1:9" x14ac:dyDescent="0.2">
      <c r="A13" s="224">
        <v>8</v>
      </c>
    </row>
    <row r="14" spans="1:9" x14ac:dyDescent="0.2">
      <c r="A14" s="224">
        <v>7</v>
      </c>
    </row>
    <row r="15" spans="1:9" x14ac:dyDescent="0.2">
      <c r="A15" s="224">
        <v>6</v>
      </c>
    </row>
    <row r="16" spans="1:9" x14ac:dyDescent="0.2">
      <c r="A16" s="224">
        <v>5</v>
      </c>
    </row>
    <row r="17" spans="1:2" x14ac:dyDescent="0.2">
      <c r="A17" s="224">
        <v>4</v>
      </c>
    </row>
    <row r="18" spans="1:2" x14ac:dyDescent="0.2">
      <c r="A18" s="224">
        <v>3</v>
      </c>
    </row>
    <row r="19" spans="1:2" x14ac:dyDescent="0.2">
      <c r="A19" s="224">
        <v>2</v>
      </c>
    </row>
    <row r="20" spans="1:2" x14ac:dyDescent="0.2">
      <c r="A20" s="224">
        <v>1</v>
      </c>
    </row>
    <row r="21" spans="1:2" x14ac:dyDescent="0.2">
      <c r="A21" s="158">
        <v>0</v>
      </c>
    </row>
    <row r="22" spans="1:2" x14ac:dyDescent="0.2">
      <c r="A22" s="225" t="s">
        <v>92</v>
      </c>
    </row>
    <row r="24" spans="1:2" x14ac:dyDescent="0.2">
      <c r="B24" t="s">
        <v>165</v>
      </c>
    </row>
    <row r="25" spans="1:2" x14ac:dyDescent="0.2">
      <c r="B25" t="s">
        <v>166</v>
      </c>
    </row>
  </sheetData>
  <conditionalFormatting sqref="A21">
    <cfRule type="duplicateValues" dxfId="9"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Kalend</vt:lpstr>
      <vt:lpstr>Kal E</vt:lpstr>
      <vt:lpstr>Reit</vt:lpstr>
      <vt:lpstr>A</vt:lpstr>
      <vt:lpstr>1</vt:lpstr>
      <vt:lpstr>2</vt:lpstr>
      <vt:lpstr>3</vt:lpstr>
      <vt:lpstr>4</vt:lpstr>
      <vt:lpstr>5</vt:lpstr>
      <vt:lpstr>6</vt:lpstr>
      <vt:lpstr>7</vt:lpstr>
      <vt:lpstr>8</vt:lpstr>
      <vt:lpstr>9</vt:lpstr>
      <vt:lpstr>10</vt:lpstr>
      <vt:lpstr>11</vt:lpstr>
      <vt:lpstr>12</vt:lpstr>
      <vt:lpstr>13</vt:lpstr>
      <vt:lpstr>L</vt:lpstr>
      <vt:lpstr>V</vt:lpstr>
      <vt:lpstr>V1</vt:lpstr>
      <vt:lpstr>V2</vt:lpstr>
      <vt:lpstr>V3</vt:lpstr>
      <vt:lpstr>V-PL</vt:lpstr>
      <vt:lpstr>Mu</vt:lpstr>
      <vt:lpstr>V4</vt:lpstr>
      <vt:lpstr>V5</vt:lpstr>
      <vt:lpstr>V6</vt:lpstr>
      <vt:lpstr>V7</vt:lpstr>
      <vt:lpstr>V8</vt:lpstr>
      <vt:lpstr>V9</vt:lpstr>
      <vt:lpstr>V10</vt:lpstr>
      <vt:lpstr>V-Fin</vt:lpstr>
      <vt:lpstr>V-F-PL</vt:lpstr>
      <vt:lpstr>V-F-AS</vt:lpstr>
      <vt:lpstr>Voka KV juhend</vt:lpstr>
      <vt:lpstr>Voka muru juhend</vt:lpstr>
      <vt:lpstr>ETAPP</vt:lpstr>
      <vt:lpstr>PIV</vt:lpstr>
      <vt:lpstr>PVO</vt:lpstr>
      <vt:lpstr>'Kal E'!Print_Area</vt:lpstr>
      <vt:lpstr>L!Print_Area</vt:lpstr>
      <vt:lpstr>Mu!Print_Area</vt:lpstr>
      <vt:lpstr>Reit!Print_Area</vt:lpstr>
      <vt:lpstr>'V-F-AS'!Print_Area</vt:lpstr>
      <vt:lpstr>'V-Fin'!Print_Area</vt:lpstr>
      <vt:lpstr>'1'!Print_Titles</vt:lpstr>
      <vt:lpstr>'10'!Print_Titles</vt:lpstr>
      <vt:lpstr>'11'!Print_Titles</vt:lpstr>
      <vt:lpstr>'12'!Print_Titles</vt:lpstr>
      <vt:lpstr>'13'!Print_Titles</vt:lpstr>
      <vt:lpstr>'2'!Print_Titles</vt:lpstr>
      <vt:lpstr>'3'!Print_Titles</vt:lpstr>
      <vt:lpstr>'4'!Print_Titles</vt:lpstr>
      <vt:lpstr>'5'!Print_Titles</vt:lpstr>
      <vt:lpstr>'6'!Print_Titles</vt:lpstr>
      <vt:lpstr>'7'!Print_Titles</vt:lpstr>
      <vt:lpstr>'8'!Print_Titles</vt:lpstr>
      <vt:lpstr>'9'!Print_Titles</vt:lpstr>
      <vt:lpstr>A!Print_Titles</vt:lpstr>
      <vt:lpstr>'Kal E'!Print_Titles</vt:lpstr>
      <vt:lpstr>L!Print_Titles</vt:lpstr>
      <vt:lpstr>Mu!Print_Titles</vt:lpstr>
      <vt:lpstr>Reit!Print_Titles</vt:lpstr>
      <vt:lpstr>V!Print_Titles</vt:lpstr>
      <vt:lpstr>'V1'!Print_Titles</vt:lpstr>
      <vt:lpstr>'V10'!Print_Titles</vt:lpstr>
      <vt:lpstr>'V2'!Print_Titles</vt:lpstr>
      <vt:lpstr>'V3'!Print_Titles</vt:lpstr>
      <vt:lpstr>'V4'!Print_Titles</vt:lpstr>
      <vt:lpstr>'V5'!Print_Titles</vt:lpstr>
      <vt:lpstr>'V6'!Print_Titles</vt:lpstr>
      <vt:lpstr>'V7'!Print_Titles</vt:lpstr>
      <vt:lpstr>'V8'!Print_Titles</vt:lpstr>
      <vt:lpstr>'V9'!Print_Titles</vt:lpstr>
      <vt:lpstr>'V-F-AS'!Print_Titles</vt:lpstr>
      <vt:lpstr>'V-Fin'!Print_Titles</vt:lpstr>
      <vt:lpstr>'V-PL'!Print_Titles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2017-04-06T13:23:03Z</dcterms:created>
  <dcterms:modified xsi:type="dcterms:W3CDTF">2023-01-08T15:45:38Z</dcterms:modified>
</cp:coreProperties>
</file>